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180" yWindow="480" windowWidth="29500" windowHeight="16980" tabRatio="500" activeTab="0"/>
  </bookViews>
  <sheets>
    <sheet name="README" sheetId="8" r:id="rId1"/>
    <sheet name="Table1" sheetId="1" r:id="rId2"/>
    <sheet name="Schooling" sheetId="5" r:id="rId3"/>
    <sheet name="OJT" sheetId="4" r:id="rId4"/>
    <sheet name="fromhome" sheetId="6" r:id="rId5"/>
    <sheet name="QuantitativeProse" sheetId="7" r:id="rId6"/>
    <sheet name="WorkingDays" sheetId="3" r:id="rId7"/>
  </sheets>
  <definedNames/>
  <calcPr calcId="140000"/>
  <extLst/>
</workbook>
</file>

<file path=xl/sharedStrings.xml><?xml version="1.0" encoding="utf-8"?>
<sst xmlns="http://schemas.openxmlformats.org/spreadsheetml/2006/main" count="1359" uniqueCount="779">
  <si>
    <t>Value of:</t>
  </si>
  <si>
    <t>Per quarter</t>
  </si>
  <si>
    <t>Per year</t>
  </si>
  <si>
    <t>Market production</t>
  </si>
  <si>
    <t>School time</t>
  </si>
  <si>
    <t>Leisure time of workers</t>
  </si>
  <si>
    <t>Nonmarket productivity</t>
  </si>
  <si>
    <t>Nonmarket labor inputs</t>
  </si>
  <si>
    <t>Time of displaced workers</t>
  </si>
  <si>
    <t>Welfare effect, $ billions</t>
  </si>
  <si>
    <t>Source</t>
  </si>
  <si>
    <t>https://www.bls.gov/news.release/empsit.a.htm</t>
  </si>
  <si>
    <t>Notes</t>
  </si>
  <si>
    <t>Welfare costs of market production also reflect the opportunity costs of capital out of service.</t>
  </si>
  <si>
    <t>https://www2.census.gov/programs-surveys/demo/tables/school-enrollment/2018/2018-cps/tab01-01.xlsx and morg2016 and https://nces.ed.gov/surveys/sass/tables/sass0708_035_s1s.asp</t>
  </si>
  <si>
    <t>Total, $ billions</t>
  </si>
  <si>
    <t>Total, $ per household</t>
  </si>
  <si>
    <t>Coincidence that labor's share and the ratio of labor surplus to labor income are both 0.7</t>
  </si>
  <si>
    <t>$ billions</t>
  </si>
  <si>
    <t>Time of adults normally OLF</t>
  </si>
  <si>
    <t>POPHMJ@USECON</t>
  </si>
  <si>
    <t>Addendum: Market production (GDP) absent shutdown</t>
  </si>
  <si>
    <t>Table 1.  Welfare Effects of Shutting Down "Non-essential" Activities</t>
  </si>
  <si>
    <t>School time is for full-time students only.</t>
  </si>
  <si>
    <t>persons involved</t>
  </si>
  <si>
    <t>Millions of</t>
  </si>
  <si>
    <t>Per workday</t>
  </si>
  <si>
    <t>Black markets</t>
  </si>
  <si>
    <t>NA</t>
  </si>
  <si>
    <t>seq</t>
  </si>
  <si>
    <t>Txt before</t>
  </si>
  <si>
    <t>Numword</t>
  </si>
  <si>
    <t>Number</t>
  </si>
  <si>
    <t>Arithmetic</t>
  </si>
  <si>
    <t>Txt after</t>
  </si>
  <si>
    <t>Status</t>
  </si>
  <si>
    <t xml:space="preserve">this document enumerates and quantifies the sacrifices, showing why negative </t>
  </si>
  <si>
    <t xml:space="preserve"> percent is an optimistic projection for the annualized growth rate of u.s. gdp in 2020 q2 if the nonessential businesses were not allowed to operate during that quarter.</t>
  </si>
  <si>
    <t xml:space="preserve">this document enumerates and quantifies the sacrifices, showing why negative 50 percent is an optimistic projection for the annualized growth rate of u.s. gdp in </t>
  </si>
  <si>
    <t>2020</t>
  </si>
  <si>
    <t xml:space="preserve"> q2 if the nonessential businesses were not allowed to operate during that quarter.</t>
  </si>
  <si>
    <t>this document enumerates and quantifies the sacrifices, showing why negative 50 percent is an optimistic projection for the annualized growth rate of u.s. gdp in 2020 q</t>
  </si>
  <si>
    <t>2</t>
  </si>
  <si>
    <t xml:space="preserve"> if the nonessential businesses were not allowed to operate during that quarter.</t>
  </si>
  <si>
    <t xml:space="preserve">this document enumerates and quantifies the sacrifices, showing why negative 50 percent is an optimistic projection for the annualized growth rate of u.s. gdp in 2020 q2 if the nonessential businesses were not allowed to operate during that </t>
  </si>
  <si>
    <t>quarter</t>
  </si>
  <si>
    <t>.</t>
  </si>
  <si>
    <t>the lost surplus from market activity, while massive, nonetheless understates the true costs of the sacrifices that households and businesses are making, which i estimate to total almost $</t>
  </si>
  <si>
    <t xml:space="preserve"> per household per quarter before counting any health costs.</t>
  </si>
  <si>
    <t xml:space="preserve"> before counting any health costs.</t>
  </si>
  <si>
    <t xml:space="preserve">a normal year has about </t>
  </si>
  <si>
    <t xml:space="preserve"> nonworking days.</t>
  </si>
  <si>
    <t xml:space="preserve">the national accountants have found that adding a nonwork day to the year reduces the year’s real gdp by about </t>
  </si>
  <si>
    <t>0.1</t>
  </si>
  <si>
    <t xml:space="preserve"> percent and have been applying this estimate to both the production and real income accounts.</t>
  </si>
  <si>
    <t xml:space="preserve">adding a nonwork day to a </t>
  </si>
  <si>
    <t xml:space="preserve"> would therefore reduce the quarter’s unadjusted real gdp by about 0.4 percent.</t>
  </si>
  <si>
    <t xml:space="preserve">adding a nonwork day to a quarter would therefore reduce the </t>
  </si>
  <si>
    <t>’s unadjusted real gdp by about 0.4 percent.</t>
  </si>
  <si>
    <t xml:space="preserve">adding a nonwork day to a quarter would therefore reduce the quarter’s unadjusted real gdp by about </t>
  </si>
  <si>
    <t>0.4</t>
  </si>
  <si>
    <t xml:space="preserve"> percent.</t>
  </si>
  <si>
    <t xml:space="preserve">extrapolating from this finding, removing all of the working days from a </t>
  </si>
  <si>
    <t xml:space="preserve"> is 62 or 63 times this, or 25 percent.</t>
  </si>
  <si>
    <t xml:space="preserve">extrapolating from this finding, removing all of the working days from a quarter is </t>
  </si>
  <si>
    <t>62</t>
  </si>
  <si>
    <t xml:space="preserve"> or 63 times this, or 25 percent.</t>
  </si>
  <si>
    <t xml:space="preserve">extrapolating from this finding, removing all of the working days from a quarter is 62 or </t>
  </si>
  <si>
    <t>63</t>
  </si>
  <si>
    <t xml:space="preserve"> times this, or 25 percent.</t>
  </si>
  <si>
    <t xml:space="preserve">extrapolating from this finding, removing all of the working days from a quarter is 62 or 63 times this, or </t>
  </si>
  <si>
    <t>25</t>
  </si>
  <si>
    <t xml:space="preserve">in other words, if seasonally-adjusted gdp </t>
  </si>
  <si>
    <t>in other words, if seasonally-adjusted gdp 2020-q</t>
  </si>
  <si>
    <t>in other words, if seasonally-adjusted gdp 2020-q2 would have been $</t>
  </si>
  <si>
    <t>5.5</t>
  </si>
  <si>
    <t xml:space="preserve">in other words, if seasonally-adjusted gdp 2020-q2 would have been $5.5 trillion at a </t>
  </si>
  <si>
    <t>1</t>
  </si>
  <si>
    <t>’s working days to the functional equivalent of a weekend or holiday would reduce the quarter’s gdp to $4.2 trillion.</t>
  </si>
  <si>
    <t>’s gdp to $4.2 trillion.</t>
  </si>
  <si>
    <t>4.2</t>
  </si>
  <si>
    <t xml:space="preserve"> trillion.</t>
  </si>
  <si>
    <t xml:space="preserve">applying the same approach to </t>
  </si>
  <si>
    <t>applying the same approach to 2020-q</t>
  </si>
  <si>
    <t>one</t>
  </si>
  <si>
    <t>-eighth of the quarter, 2020-q1 real gdp (in 2020-q2 prices) would be $5.4 trillion.</t>
  </si>
  <si>
    <t>eight</t>
  </si>
  <si>
    <t>h of the quarter, 2020-q1 real gdp (in 2020-q2 prices) would be $5.4 trillion.</t>
  </si>
  <si>
    <t>, 2020-q1 real gdp (in 2020-q2 prices) would be $5.4 trillion.</t>
  </si>
  <si>
    <t>-q1 real gdp (in 2020-q2 prices) would be $5.4 trillion.</t>
  </si>
  <si>
    <t xml:space="preserve"> real gdp (in 2020-q2 prices) would be $5.4 trillion.</t>
  </si>
  <si>
    <t>-q2 prices) would be $5.4 trillion.</t>
  </si>
  <si>
    <t xml:space="preserve"> prices) would be $5.4 trillion.</t>
  </si>
  <si>
    <t>5.4</t>
  </si>
  <si>
    <t xml:space="preserve">the </t>
  </si>
  <si>
    <t>-over-quarter growth rate of seasonally-adjusted real gdp would, expressed at annual rates, therefore be 10 percent in q1 and 63 percent in q2.</t>
  </si>
  <si>
    <t>the quarter-over-</t>
  </si>
  <si>
    <t xml:space="preserve"> growth rate of seasonally-adjusted real gdp would, expressed at annual rates, therefore be 10 percent in q1 and 63 percent in q2.</t>
  </si>
  <si>
    <t>the quarter-over-quarter growth rate of seasonally-adjusted real gdp would, expressed at annual rates, therefore be </t>
  </si>
  <si>
    <t>10</t>
  </si>
  <si>
    <t xml:space="preserve"> percent in q1 and 63 percent in q2.</t>
  </si>
  <si>
    <t>the quarter-over-quarter growth rate of seasonally-adjusted real gdp would, expressed at annual rates, therefore be 10 percent in q</t>
  </si>
  <si>
    <t xml:space="preserve"> and 63 percent in q2.</t>
  </si>
  <si>
    <t>the quarter-over-quarter growth rate of seasonally-adjusted real gdp would, expressed at annual rates, therefore be 10 percent in q1 and </t>
  </si>
  <si>
    <t xml:space="preserve"> percent in q2.</t>
  </si>
  <si>
    <t>the quarter-over-quarter growth rate of seasonally-adjusted real gdp would, expressed at annual rates, therefore be 10 percent in q1 and 63 percent in q</t>
  </si>
  <si>
    <t>2.</t>
  </si>
  <si>
    <t>the q</t>
  </si>
  <si>
    <t xml:space="preserve"> or for part of the country.</t>
  </si>
  <si>
    <t xml:space="preserve">on </t>
  </si>
  <si>
    <t>this by itself suggests that the $</t>
  </si>
  <si>
    <t xml:space="preserve"> trillion estimate is too pessimistic.</t>
  </si>
  <si>
    <t xml:space="preserve"> trillion estimate is too optimistic.</t>
  </si>
  <si>
    <t xml:space="preserve">labor is reduced by the number of “non-essential” employees, which has been about </t>
  </si>
  <si>
    <t>30</t>
  </si>
  <si>
    <t xml:space="preserve"> percent during federal shutdowns.</t>
  </si>
  <si>
    <t xml:space="preserve">the reduction in capital input is therefore somewhere between </t>
  </si>
  <si>
    <t>0</t>
  </si>
  <si>
    <t xml:space="preserve"> and 30 percent;</t>
  </si>
  <si>
    <t xml:space="preserve">the reduction in capital input is therefore somewhere between 0 and </t>
  </si>
  <si>
    <t xml:space="preserve"> percent;</t>
  </si>
  <si>
    <t xml:space="preserve">history has repeatedly shown that labor is more important in the production process than capital, so that by the second method real gdp is reduced </t>
  </si>
  <si>
    <t>26</t>
  </si>
  <si>
    <t xml:space="preserve">but it still has value, which is why the best welfare effects of shutdown may be less pessimistic than analysis assuming </t>
  </si>
  <si>
    <t>zero</t>
  </si>
  <si>
    <t xml:space="preserve"> black market.</t>
  </si>
  <si>
    <t xml:space="preserve">i assume that black markets replace </t>
  </si>
  <si>
    <t xml:space="preserve"> percent of the gains from trade, based on studies of illegal drugs.</t>
  </si>
  <si>
    <t xml:space="preserve">indeed, black markets compete with legitimate markets for the factors of production and by this channel would reduce measured real gdp even more than would occur without black markets (fleming, roman and farrell </t>
  </si>
  <si>
    <t>2000</t>
  </si>
  <si>
    <t>).</t>
  </si>
  <si>
    <t xml:space="preserve">although the national income accounts were designed on the basis of the principles of welfare economics, gdp growth is not exactly a benefit and gdp reduction is not exactly a welfare cost because valuable activities and assets such as home production, elements of human capital accumulation, and environmental quality are not yet recognized in the official national accounts (hartwick </t>
  </si>
  <si>
    <t>1990</t>
  </si>
  <si>
    <t>, nordhaus and kokkelenberg 1999, jorgenson 2010).</t>
  </si>
  <si>
    <t xml:space="preserve">although the national income accounts were designed on the basis of the principles of welfare economics, gdp growth is not exactly a benefit and gdp reduction is not exactly a welfare cost because valuable activities and assets such as home production, elements of human capital accumulation, and environmental quality are not yet recognized in the official national accounts (hartwick 1990, nordhaus and kokkelenberg </t>
  </si>
  <si>
    <t>1999</t>
  </si>
  <si>
    <t>, jorgenson 2010).</t>
  </si>
  <si>
    <t xml:space="preserve">although the national income accounts were designed on the basis of the principles of welfare economics, gdp growth is not exactly a benefit and gdp reduction is not exactly a welfare cost because valuable activities and assets such as home production, elements of human capital accumulation, and environmental quality are not yet recognized in the official national accounts (hartwick 1990, nordhaus and kokkelenberg 1999, jorgenson </t>
  </si>
  <si>
    <t>2010</t>
  </si>
  <si>
    <t>two</t>
  </si>
  <si>
    <t xml:space="preserve"> basic channels, as shown in table 1.</t>
  </si>
  <si>
    <t>1.</t>
  </si>
  <si>
    <t xml:space="preserve">the percentage change in the value created in the nonmarket sector combines the </t>
  </si>
  <si>
    <t xml:space="preserve"> channels and is approximately the sum of the (positive) percentage change in labor input and the (negative) percentage change of nonmarket productivity.</t>
  </si>
  <si>
    <t xml:space="preserve">this section provides estimates of the </t>
  </si>
  <si>
    <t xml:space="preserve">the average nonmarket value of time is below the after-tax real wage that would normally prevail, but above the marginal value of time with a shutdown, which i estimate to be </t>
  </si>
  <si>
    <t>49</t>
  </si>
  <si>
    <t xml:space="preserve"> percent of the former.</t>
  </si>
  <si>
    <t xml:space="preserve">with a </t>
  </si>
  <si>
    <t>48</t>
  </si>
  <si>
    <t xml:space="preserve"> percent marginal tax rate (inclusive of implicit taxes on labor income), the total nonmarket value of the extra time is about $7 billion per day (see table 1), or about 30 percent of the reduction in real gdp.</t>
  </si>
  <si>
    <t>with a 48 percent marginal tax rate (inclusive of implicit taxes on labor income), the total nonmarket value of the extra time is about $</t>
  </si>
  <si>
    <t>7</t>
  </si>
  <si>
    <t xml:space="preserve"> billion per day (see table 1), or about 30 percent of the reduction in real gdp.</t>
  </si>
  <si>
    <t xml:space="preserve">with a 48 percent marginal tax rate (inclusive of implicit taxes on labor income), the total nonmarket value of the extra time is about $7 billion per day (see table </t>
  </si>
  <si>
    <t>), or about 30 percent of the reduction in real gdp.</t>
  </si>
  <si>
    <t xml:space="preserve">with a 48 percent marginal tax rate (inclusive of implicit taxes on labor income), the total nonmarket value of the extra time is about $7 billion per day (see table 1), or about </t>
  </si>
  <si>
    <t xml:space="preserve"> percent of the reduction in real gdp.</t>
  </si>
  <si>
    <t xml:space="preserve">simply put, about </t>
  </si>
  <si>
    <t>simply put, about two-</t>
  </si>
  <si>
    <t>third</t>
  </si>
  <si>
    <t>simply put, about two-thirds of the $</t>
  </si>
  <si>
    <t xml:space="preserve"> billion daily gdp loss is a welfare loss, even without considering any productivity change in the nonmarket sector.</t>
  </si>
  <si>
    <t xml:space="preserve">full-time schooling, where there are normally about </t>
  </si>
  <si>
    <t>73</t>
  </si>
  <si>
    <t xml:space="preserve"> million children and young adults enrolled, is the part of the non-market sector’s productivity loss that is easiest to quantify.</t>
  </si>
  <si>
    <t>370</t>
  </si>
  <si>
    <t xml:space="preserve"> billion in 2018.</t>
  </si>
  <si>
    <t>2018.</t>
  </si>
  <si>
    <t>2013</t>
  </si>
  <si>
    <t>102</t>
  </si>
  <si>
    <t xml:space="preserve"> percent of the direct costs, which would be $377 billion in 2018, or about $4.5 per hour that the average student was in school.</t>
  </si>
  <si>
    <t>377</t>
  </si>
  <si>
    <t xml:space="preserve"> billion in 2018, or about $4.5 per hour that the average student was in school.</t>
  </si>
  <si>
    <t>2018</t>
  </si>
  <si>
    <t>, or about $4.5 per hour that the average student was in school.</t>
  </si>
  <si>
    <t xml:space="preserve"> per hour that the average student was in school.</t>
  </si>
  <si>
    <t>half</t>
  </si>
  <si>
    <t xml:space="preserve"> per hour that they would have been in school.</t>
  </si>
  <si>
    <t>if a shutdown also reduced the hourly value of their time by $</t>
  </si>
  <si>
    <t>500</t>
  </si>
  <si>
    <t>2012</t>
  </si>
  <si>
    <t xml:space="preserve">between </t>
  </si>
  <si>
    <t>1970</t>
  </si>
  <si>
    <t xml:space="preserve"> and 1998, the average year of medical discoveries added more than a trillion dollars to national wealth (murphy and topel 2003).</t>
  </si>
  <si>
    <t xml:space="preserve">between 1970 and </t>
  </si>
  <si>
    <t>1998</t>
  </si>
  <si>
    <t>, the average year of medical discoveries added more than a trillion dollars to national wealth (murphy and topel 2003).</t>
  </si>
  <si>
    <t xml:space="preserve">between 1970 and 1998, the average year of medical discoveries added more than a trillion dollars to national wealth (murphy and topel </t>
  </si>
  <si>
    <t>2003</t>
  </si>
  <si>
    <t xml:space="preserve">all age groups benefitted from new drugs that reduce mortality, in amounts that far exceed the research and development costs for those drugs (lichtenberg </t>
  </si>
  <si>
    <t>2019</t>
  </si>
  <si>
    <t>cea estimated that the value, in terms of reduced mortality, of a vaccine against a flu pandemic would be up to $</t>
  </si>
  <si>
    <t>4</t>
  </si>
  <si>
    <t xml:space="preserve"> trillion if it could be produced and distributed to millions of patients.</t>
  </si>
  <si>
    <t>a vaccine or treatment for covid-19 would not only reduce mortality but would also save $</t>
  </si>
  <si>
    <t xml:space="preserve"> billion for each working day that normal economic activities could be resumed.</t>
  </si>
  <si>
    <t>twenty</t>
  </si>
  <si>
    <t>twenty-</t>
  </si>
  <si>
    <t>those barriers, which cost an average of $</t>
  </si>
  <si>
    <t>1.5</t>
  </si>
  <si>
    <t xml:space="preserve"> billion per approved drug, include processing time by a regulatory agency, added costs for clinical trials, and agency fees (dimasi, grabowski and hansen 2016).</t>
  </si>
  <si>
    <t xml:space="preserve">those barriers, which cost an average of $1.5 billion per approved drug, include processing time by a regulatory agency, added costs for clinical trials, and agency fees (dimasi, grabowski and hansen </t>
  </si>
  <si>
    <t>2016</t>
  </si>
  <si>
    <t xml:space="preserve">the average u.s.-approved new pharmaceutical and biotech product spends </t>
  </si>
  <si>
    <t xml:space="preserve"> years in the approval process at the food and drug administration (fda), which delays patient benefits and supplier revenues by that length of time (jørring, et al 2017).</t>
  </si>
  <si>
    <t xml:space="preserve">the average u.s.-approved new pharmaceutical and biotech product spends eight years in the approval process at the food and drug administration (fda), which delays patient benefits and supplier revenues by that length of time (jørring, et al </t>
  </si>
  <si>
    <t>2017</t>
  </si>
  <si>
    <t xml:space="preserve">for each approved product, there are more than </t>
  </si>
  <si>
    <t>four</t>
  </si>
  <si>
    <t xml:space="preserve">phase i is a clinical trial to determine the safety of the drug and lasts an average of </t>
  </si>
  <si>
    <t>16</t>
  </si>
  <si>
    <t xml:space="preserve"> months.</t>
  </si>
  <si>
    <t xml:space="preserve">phase i expenses, including those for drugs that are not approved, are about a </t>
  </si>
  <si>
    <t>th of total drug development expenses.</t>
  </si>
  <si>
    <t xml:space="preserve">eight of the </t>
  </si>
  <si>
    <t>eight of the twenty-</t>
  </si>
  <si>
    <t xml:space="preserve">the later phases add expenses and postpone the date when the drug can be distributed to patients, but the fda believes that the efficacy trials provide valuable public information that many companies would not provide if they were not required for approval (food and drug administration </t>
  </si>
  <si>
    <t xml:space="preserve">although the fda does not have jurisdiction over physician practice, the fda may create malpractice and </t>
  </si>
  <si>
    <t>-party payment concerns around off-label prescribing by saying that the prescribing physician must be well informed about the relevant medical evidence, which does not yet exist for the covid-19 indication.</t>
  </si>
  <si>
    <t xml:space="preserve">as shown in table </t>
  </si>
  <si>
    <t xml:space="preserve">as shown in table 1, if any </t>
  </si>
  <si>
    <t>20</t>
  </si>
  <si>
    <t xml:space="preserve"> billion (plus the value of health and longevity).</t>
  </si>
  <si>
    <t>if a combination of these innovations could accelerate the end of a nationwide shutdown by just a month, they would be worth $</t>
  </si>
  <si>
    <t xml:space="preserve"> billion.</t>
  </si>
  <si>
    <t xml:space="preserve">accelerating the end by a </t>
  </si>
  <si>
    <t>Complete</t>
  </si>
  <si>
    <t>DAYS</t>
  </si>
  <si>
    <t>WORKDAYS</t>
  </si>
  <si>
    <t>FED HOLIDAYS</t>
  </si>
  <si>
    <t>Working days</t>
  </si>
  <si>
    <t>Nonworking days</t>
  </si>
  <si>
    <t>Weekend days</t>
  </si>
  <si>
    <t>251</t>
  </si>
  <si>
    <t xml:space="preserve"> working days and about 114 nonworking days.</t>
  </si>
  <si>
    <t xml:space="preserve">a normal year has about 251 working days and about </t>
  </si>
  <si>
    <t>114</t>
  </si>
  <si>
    <t>The Value of OJT</t>
  </si>
  <si>
    <t>employer payroll tax</t>
  </si>
  <si>
    <t>COE 2016</t>
  </si>
  <si>
    <t>COE 2019</t>
  </si>
  <si>
    <t>Aggregate value of OJT, $ billions per year</t>
  </si>
  <si>
    <t>OJT measures</t>
  </si>
  <si>
    <t>annualized</t>
  </si>
  <si>
    <t>Heckman</t>
  </si>
  <si>
    <t>SRC</t>
  </si>
  <si>
    <t>avg</t>
  </si>
  <si>
    <t>earnwke</t>
  </si>
  <si>
    <t>HK part of comp</t>
  </si>
  <si>
    <t>millions</t>
  </si>
  <si>
    <t>OJT taken out of earnings</t>
  </si>
  <si>
    <t>The table shows point estimates of costs that could be netted against point estimates of health benefits such as deaths averted by shutdown.</t>
  </si>
  <si>
    <t>The Value of Schooling</t>
  </si>
  <si>
    <t>Annual ROR</t>
  </si>
  <si>
    <t>Earnings when exiting school</t>
  </si>
  <si>
    <t>Discount rate net of growth</t>
  </si>
  <si>
    <t>Output Approach</t>
  </si>
  <si>
    <t>Years until exiting school</t>
  </si>
  <si>
    <t>PV of losing one year of school</t>
  </si>
  <si>
    <t>PV of operating school 50% for one year</t>
  </si>
  <si>
    <t>Input Approach</t>
  </si>
  <si>
    <t>Hourly value of school time</t>
  </si>
  <si>
    <t>https://nces.ed.gov/surveys/sass/tables/sass0708_035_s1s.asp</t>
  </si>
  <si>
    <t>School days per year</t>
  </si>
  <si>
    <t>Hours of school per day</t>
  </si>
  <si>
    <t>Full</t>
  </si>
  <si>
    <t>Nonmarket share</t>
  </si>
  <si>
    <t>Average of the two approaches</t>
  </si>
  <si>
    <t>Annual</t>
  </si>
  <si>
    <t>Hourly</t>
  </si>
  <si>
    <t>Deadweight cost of relief policy</t>
  </si>
  <si>
    <t>Deadweight costs of relief policy are financing costs, without any distribution costs.</t>
  </si>
  <si>
    <t>https://www.bls.gov/news.release/empsit.a.htm ; MDWC of 0.5, $1.8 trillion on CARES (https://www.cbo.gov/publication/56334) and $0.2 trillion for https://www.cbo.gov/system/files/2020-04/HR6201.pdf.  Assumed to last for 6 months.</t>
  </si>
  <si>
    <t>Working from home</t>
  </si>
  <si>
    <t>Employed</t>
  </si>
  <si>
    <t>circa 4/1</t>
  </si>
  <si>
    <t>before</t>
  </si>
  <si>
    <t>Value</t>
  </si>
  <si>
    <t>Timing</t>
  </si>
  <si>
    <t>Before</t>
  </si>
  <si>
    <t>Changes</t>
  </si>
  <si>
    <t>Log</t>
  </si>
  <si>
    <t>Percent</t>
  </si>
  <si>
    <t>https://alexbick.weebly.com/uploads/1/0/1/3/101306056/bb_covid.pdf</t>
  </si>
  <si>
    <t>Hrs/emp</t>
  </si>
  <si>
    <t>Hrs/adult</t>
  </si>
  <si>
    <t>previous yrs</t>
  </si>
  <si>
    <t>Emp sh working at home</t>
  </si>
  <si>
    <t>Pop sh working at home</t>
  </si>
  <si>
    <t>Share of 4/1 empl moved home</t>
  </si>
  <si>
    <t>Assumes all those previous working from home continue to be employed</t>
  </si>
  <si>
    <t>Assumes proportionality</t>
  </si>
  <si>
    <t>Assumes none of those previous working from home continue to be employed</t>
  </si>
  <si>
    <t>now</t>
  </si>
  <si>
    <t>home</t>
  </si>
  <si>
    <t>office</t>
  </si>
  <si>
    <t>not employed</t>
  </si>
  <si>
    <t>total</t>
  </si>
  <si>
    <t>Midpoint</t>
  </si>
  <si>
    <t>Low</t>
  </si>
  <si>
    <t>Mid</t>
  </si>
  <si>
    <t>Proportional</t>
  </si>
  <si>
    <t>Max</t>
  </si>
  <si>
    <t>Share of Pre empl leaving office</t>
  </si>
  <si>
    <t>Capital</t>
  </si>
  <si>
    <t>Output</t>
  </si>
  <si>
    <t>April 2020</t>
  </si>
  <si>
    <t>The estimates do not include the entire effect of expanding social insurance, which would be to further shift inputs from the market to nonmarket sectors.  The additional demand for social insurance itself reflects costs of shutdown that are not captured by the averages.</t>
  </si>
  <si>
    <t xml:space="preserve"> contains point estimates of costs and is therefore is not comparable to “worst case” estimates of health benefits.</t>
  </si>
  <si>
    <t xml:space="preserve">note that table </t>
  </si>
  <si>
    <t xml:space="preserve">the federal government imposed the requirement in 2016, but the rule was overturned in 2017 by president trump and the 115th congress, saving consumers more than $10 billion annually (council of economic advisers february </t>
  </si>
  <si>
    <t xml:space="preserve"> billion annually (council of economic advisers february 2020).</t>
  </si>
  <si>
    <t>the federal government imposed the requirement in 2016, but the rule was overturned in 2017 by president trump and the 115th congress, saving consumers more than $</t>
  </si>
  <si>
    <t>th congress, saving consumers more than $10 billion annually (council of economic advisers february 2020).</t>
  </si>
  <si>
    <t>115</t>
  </si>
  <si>
    <t xml:space="preserve">the federal government imposed the requirement in 2016, but the rule was overturned in 2017 by president trump and the </t>
  </si>
  <si>
    <t xml:space="preserve"> by president trump and the 115th congress, saving consumers more than $10 billion annually (council of economic advisers february 2020).</t>
  </si>
  <si>
    <t xml:space="preserve">the federal government imposed the requirement in 2016, but the rule was overturned in </t>
  </si>
  <si>
    <t>, but the rule was overturned in 2017 by president trump and the 115th congress, saving consumers more than $10 billion annually (council of economic advisers february 2020).</t>
  </si>
  <si>
    <t xml:space="preserve">the federal government imposed the requirement in </t>
  </si>
  <si>
    <t>national conference of state legislatures (</t>
  </si>
  <si>
    <t>t.</t>
  </si>
  <si>
    <t>ten</t>
  </si>
  <si>
    <t>off-label chloroquine and hydroxychloroquine are being used in the u.s. to some ex</t>
  </si>
  <si>
    <t>food and drug administration (</t>
  </si>
  <si>
    <t xml:space="preserve">if so, the lost social value is even greater than shown in table </t>
  </si>
  <si>
    <t>0.72</t>
  </si>
  <si>
    <t xml:space="preserve">this assumes a wage elasticity of labor supply of 1/2 (0.49 = </t>
  </si>
  <si>
    <t xml:space="preserve"> = 0.72).</t>
  </si>
  <si>
    <t>0.49</t>
  </si>
  <si>
    <t>this assumes a wage elasticity of labor supply of 1/2 (</t>
  </si>
  <si>
    <t xml:space="preserve"> (0.49 = 0.72).</t>
  </si>
  <si>
    <t>this assumes a wage elasticity of labor supply of 1/</t>
  </si>
  <si>
    <t>/2 (0.49 = 0.72).</t>
  </si>
  <si>
    <t xml:space="preserve">this assumes a wage elasticity of labor supply of </t>
  </si>
  <si>
    <t>) do, that the marginal cost of public funds is the same regardless of when the financing occurs and whether it occurs from less spending or more taxes.</t>
  </si>
  <si>
    <t>1974</t>
  </si>
  <si>
    <t>for this purpose i assume, as atkinson and stern (</t>
  </si>
  <si>
    <t>) by considering the various implicit and explicit taxes on income, payroll, and sales.</t>
  </si>
  <si>
    <t xml:space="preserve">my approximation is based on the “marginal cost of public funds” (dahlby 2008), as estimated for the u.s. economy by cea (march </t>
  </si>
  <si>
    <t>), as estimated for the u.s. economy by cea (march 2019) by considering the various implicit and explicit taxes on income, payroll, and sales.</t>
  </si>
  <si>
    <t>2008</t>
  </si>
  <si>
    <t xml:space="preserve">my approximation is based on the “marginal cost of public funds” (dahlby </t>
  </si>
  <si>
    <t>-1</t>
  </si>
  <si>
    <t>the war on drugs increases the retail price (and unit cost to suppliers) by a roughly a factor of four and reduces the quantity consumed by a factor of two (jaffe, et al 2019, figure 12</t>
  </si>
  <si>
    <t>-1).</t>
  </si>
  <si>
    <t>12</t>
  </si>
  <si>
    <t xml:space="preserve">the war on drugs increases the retail price (and unit cost to suppliers) by a roughly a factor of four and reduces the quantity consumed by a factor of two (jaffe, et al 2019, figure </t>
  </si>
  <si>
    <t>, figure 12-1).</t>
  </si>
  <si>
    <t xml:space="preserve">the war on drugs increases the retail price (and unit cost to suppliers) by a roughly a factor of four and reduces the quantity consumed by a factor of two (jaffe, et al </t>
  </si>
  <si>
    <t xml:space="preserve"> (jaffe, et al 2019, figure 12-1).</t>
  </si>
  <si>
    <t xml:space="preserve">the war on drugs increases the retail price (and unit cost to suppliers) by a roughly a factor of four and reduces the quantity consumed by a factor of </t>
  </si>
  <si>
    <t xml:space="preserve"> and reduces the quantity consumed by a factor of two (jaffe, et al 2019, figure 12-1).</t>
  </si>
  <si>
    <t xml:space="preserve">the war on drugs increases the retail price (and unit cost to suppliers) by a roughly a factor of </t>
  </si>
  <si>
    <t xml:space="preserve"> outside the home.</t>
  </si>
  <si>
    <t>i obtain this range by assuming that (i) the share of february 2020 employment from home was ten percent, corresponding to bick and blandin’s estimate from the 2017 and 2018 march atus, (ii) that those previous working at home are disproportionately likely to keep their jobs, and (iii) no jobs that were being done at home are now d</t>
  </si>
  <si>
    <t xml:space="preserve"> at home are now done outside the home.</t>
  </si>
  <si>
    <t>i obtain this range by assuming that (i) the share of february 2020 employment from home was ten percent, corresponding to bick and blandin’s estimate from the 2017 and 2018 march atus, (ii) that those previous working at home are disproportionately likely to keep their jobs, and (iii) no jobs that were being d</t>
  </si>
  <si>
    <t xml:space="preserve"> march atus, (ii) that those previous working at home are disproportionately likely to keep their jobs, and (iii) no jobs that were being done at home are now done outside the home.</t>
  </si>
  <si>
    <t xml:space="preserve">i obtain this range by assuming that (i) the share of february 2020 employment from home was ten percent, corresponding to bick and blandin’s estimate from the 2017 and </t>
  </si>
  <si>
    <t xml:space="preserve"> and 2018 march atus, (ii) that those previous working at home are disproportionately likely to keep their jobs, and (iii) no jobs that were being done at home are now done outside the home.</t>
  </si>
  <si>
    <t xml:space="preserve">i obtain this range by assuming that (i) the share of february 2020 employment from home was ten percent, corresponding to bick and blandin’s estimate from the </t>
  </si>
  <si>
    <t xml:space="preserve"> percent, corresponding to bick and blandin’s estimate from the 2017 and 2018 march atus, (ii) that those previous working at home are disproportionately likely to keep their jobs, and (iii) no jobs that were being done at home are now done outside the home.</t>
  </si>
  <si>
    <t xml:space="preserve">i obtain this range by assuming that (i) the share of february 2020 employment from home was </t>
  </si>
  <si>
    <t xml:space="preserve"> employment from home was ten percent, corresponding to bick and blandin’s estimate from the 2017 and 2018 march atus, (ii) that those previous working at home are disproportionately likely to keep their jobs, and (iii) no jobs that were being done at home are now done outside the home.</t>
  </si>
  <si>
    <t xml:space="preserve">i obtain this range by assuming that (i) the share of february </t>
  </si>
  <si>
    <t xml:space="preserve">looking at the current pandemic, eichenbaum, rebelo, and trabandt (2020) estimate that aggregate consumption and gdp (their model has no investment) will fall up to </t>
  </si>
  <si>
    <t>) estimate that aggregate consumption and gdp (their model has no investment) will fall up to 20 percent.</t>
  </si>
  <si>
    <t>looking at the current pandemic, eichenbaum, rebelo, and trabandt (</t>
  </si>
  <si>
    <t xml:space="preserve">barro, ursúa and weng (2020) estimate that, if the covid-19 epidemic were a scaled version of the 1918 spanish flu, real gdp would fall less than </t>
  </si>
  <si>
    <t xml:space="preserve"> spanish flu, real gdp would fall less than eight percent.</t>
  </si>
  <si>
    <t>1918</t>
  </si>
  <si>
    <t xml:space="preserve">barro, ursúa and weng (2020) estimate that, if the covid-19 epidemic were a scaled version of the </t>
  </si>
  <si>
    <t xml:space="preserve"> epidemic were a scaled version of the 1918 spanish flu, real gdp would fall less than eight percent.</t>
  </si>
  <si>
    <t>-19</t>
  </si>
  <si>
    <t>barro, ursúa and weng (2020) estimate that, if the covid</t>
  </si>
  <si>
    <t>) estimate that, if the covid-19 epidemic were a scaled version of the 1918 spanish flu, real gdp would fall less than eight percent.</t>
  </si>
  <si>
    <t>barro, ursúa and weng (</t>
  </si>
  <si>
    <t>ing is not critical to the analysis.</t>
  </si>
  <si>
    <t>given that i obtain almost the same result for the two methods, their w</t>
  </si>
  <si>
    <t xml:space="preserve"> methods, their weighting is not critical to the analysis.</t>
  </si>
  <si>
    <t xml:space="preserve">given that i obtain almost the same result for the </t>
  </si>
  <si>
    <t>the non-essential share has not yet been measured for government-mandated private-sector shutdowns, which suggests that the holiday-weekend method should receive more w</t>
  </si>
  <si>
    <t xml:space="preserve"> growth rate regardless of whether non-essential businesses are permitted to operate.</t>
  </si>
  <si>
    <t>these are policies reducing the q1-to-q</t>
  </si>
  <si>
    <t>-to-q2 growth rate regardless of whether non-essential businesses are permitted to operate.</t>
  </si>
  <si>
    <t>these are policies reducing the q</t>
  </si>
  <si>
    <t xml:space="preserve"> is .</t>
  </si>
  <si>
    <t>the formula for the annualized growth rate in q</t>
  </si>
  <si>
    <t xml:space="preserve">this assumes a baseline annual growth rate of 2 percent and applies it one for </t>
  </si>
  <si>
    <t xml:space="preserve"> for one.</t>
  </si>
  <si>
    <t xml:space="preserve">this assumes a baseline annual growth rate of 2 percent and applies it </t>
  </si>
  <si>
    <t xml:space="preserve"> percent and applies it one for one.</t>
  </si>
  <si>
    <t xml:space="preserve">this assumes a baseline annual growth rate of </t>
  </si>
  <si>
    <t>’s first row with its addendum row.</t>
  </si>
  <si>
    <t xml:space="preserve">this is the sum of table </t>
  </si>
  <si>
    <t>4.</t>
  </si>
  <si>
    <t>the exact number of working days that 2020 q2 would have normally had is irrelevant for this calculation because the national accountants adjust for its deviation from 250/</t>
  </si>
  <si>
    <t>/4.</t>
  </si>
  <si>
    <t>250</t>
  </si>
  <si>
    <t xml:space="preserve">the exact number of working days that 2020 q2 would have normally had is irrelevant for this calculation because the national accountants adjust for its deviation from </t>
  </si>
  <si>
    <t xml:space="preserve"> would have normally had is irrelevant for this calculation because the national accountants adjust for its deviation from 250/4.</t>
  </si>
  <si>
    <t>the exact number of working days that 2020 q</t>
  </si>
  <si>
    <t xml:space="preserve"> q2 would have normally had is irrelevant for this calculation because the national accountants adjust for its deviation from 250/4.</t>
  </si>
  <si>
    <t xml:space="preserve">the exact number of working days that </t>
  </si>
  <si>
    <t>s the gdp of a working day.</t>
  </si>
  <si>
    <t>the estimate implies that the average nonworking day has two-</t>
  </si>
  <si>
    <t>-thirds the gdp of a working day.</t>
  </si>
  <si>
    <t xml:space="preserve">the estimate implies that the average nonworking day has </t>
  </si>
  <si>
    <t>;</t>
  </si>
  <si>
    <t>note that 0.1 percent is much less than 1/</t>
  </si>
  <si>
    <t>/251;</t>
  </si>
  <si>
    <t xml:space="preserve">note that 0.1 percent is much less than </t>
  </si>
  <si>
    <t xml:space="preserve"> percent is much less than 1/251;</t>
  </si>
  <si>
    <t xml:space="preserve">note that </t>
  </si>
  <si>
    <t>2004</t>
  </si>
  <si>
    <t>european central bank (</t>
  </si>
  <si>
    <t xml:space="preserve"> federal holidays.</t>
  </si>
  <si>
    <t xml:space="preserve">there are </t>
  </si>
  <si>
    <t xml:space="preserve"> weekend days.</t>
  </si>
  <si>
    <t>106</t>
  </si>
  <si>
    <t xml:space="preserve">a year has 52 weeks plus an additional one or two days, for a total of between 104 and </t>
  </si>
  <si>
    <t xml:space="preserve"> and 106 weekend days.</t>
  </si>
  <si>
    <t>104</t>
  </si>
  <si>
    <t xml:space="preserve">a year has 52 weeks plus an additional one or two days, for a total of between </t>
  </si>
  <si>
    <t xml:space="preserve"> days, for a total of between 104 and 106 weekend days.</t>
  </si>
  <si>
    <t xml:space="preserve">a year has 52 weeks plus an additional one or </t>
  </si>
  <si>
    <t xml:space="preserve"> or two days, for a total of between 104 and 106 weekend days.</t>
  </si>
  <si>
    <t xml:space="preserve">a year has 52 weeks plus an additional </t>
  </si>
  <si>
    <t xml:space="preserve"> weeks plus an additional one or two days, for a total of between 104 and 106 weekend days.</t>
  </si>
  <si>
    <t>52</t>
  </si>
  <si>
    <t xml:space="preserve">a year has </t>
  </si>
  <si>
    <t>t that future innovation permits a second wave of the disease to be mitigated or prevented.</t>
  </si>
  <si>
    <t>the comparison is also relevant to the ex</t>
  </si>
  <si>
    <t>, has tremendous costs relative to a normally functioning economy.</t>
  </si>
  <si>
    <t>shutting down the economy, which is being done as protection against the harms of covid</t>
  </si>
  <si>
    <t xml:space="preserve"> as protection against the harms of covid-19, has tremendous costs relative to a normally functioning economy.</t>
  </si>
  <si>
    <t>shutting down the economy, which is being d</t>
  </si>
  <si>
    <t>accelerating the end by a quarter is worth almost $</t>
  </si>
  <si>
    <t xml:space="preserve"> is worth almost $2 trillion.</t>
  </si>
  <si>
    <t>590</t>
  </si>
  <si>
    <t>as shown in table 1, if any one of the innovations in medicine, testing, manufacturing, or workplace mitigation could accelerate the end of a nationwide shutdown by a single workday, that would be worth almost $</t>
  </si>
  <si>
    <t xml:space="preserve"> of the innovations in medicine, testing, manufacturing, or workplace mitigation could accelerate the end of a nationwide shutdown by a single workday, that would be worth almost $30 billion (plus the value of health and longevity).</t>
  </si>
  <si>
    <t>, if any one of the innovations in medicine, testing, manufacturing, or workplace mitigation could accelerate the end of a nationwide shutdown by a single workday, that would be worth almost $30 billion (plus the value of health and longevity).</t>
  </si>
  <si>
    <t xml:space="preserve"> and other states are considering it.</t>
  </si>
  <si>
    <t xml:space="preserve">the state of maine imposed this requirement in </t>
  </si>
  <si>
    <t xml:space="preserve">by keeping a temporary record of proximity events between individuals, it can immediately alert recent close contacts of diagnosed cases and prompt them to self-isolate” (ferretti, et al </t>
  </si>
  <si>
    <t xml:space="preserve"> app can make contact tracing and notification instantaneous upon case confirmation.</t>
  </si>
  <si>
    <t>one digital proposal is “a mobile ph</t>
  </si>
  <si>
    <t xml:space="preserve"> digital proposal is “a mobile phone app can make contact tracing and notification instantaneous upon case confirmation.</t>
  </si>
  <si>
    <t xml:space="preserve"> testing and contact tracing early and therefore had the luxury of operating on a smaller scale.</t>
  </si>
  <si>
    <t>countries such as iceland and south korea, conducted covid</t>
  </si>
  <si>
    <t xml:space="preserve">the fda has removed some of the barriers to developing and implementing covid-19 tests, although it has activated additional barriers such as those associated with a legally-declared public health emergency (boburg, et al </t>
  </si>
  <si>
    <t xml:space="preserve"> tests, although it has activated additional barriers such as those associated with a legally-declared public health emergency (boburg, et al 2020).</t>
  </si>
  <si>
    <t>the fda has removed some of the barriers to developing and implementing covid</t>
  </si>
  <si>
    <t xml:space="preserve">following a positive test result, contact tracing reduces disease transmission (as well as delivering treatments earlier in the disease progression) by identifying contacts and providing those contacts with follow-up monitoring and information (world health organization </t>
  </si>
  <si>
    <t xml:space="preserve"> medicine that emerges only next year when it is finally proven to be effective in trials?</t>
  </si>
  <si>
    <t>what good is a safe covid</t>
  </si>
  <si>
    <t xml:space="preserve"> medicines.</t>
  </si>
  <si>
    <t>today the entire world has a short horizon when it comes to covid</t>
  </si>
  <si>
    <t>theless confer benefits on the general population by making the patient less contagious.</t>
  </si>
  <si>
    <t>a pandemic involves a contagious disease, which means that a vaccine or treatment that is somewhat unsafe to the patient may n</t>
  </si>
  <si>
    <t xml:space="preserve"> prescriptions by a few days, the delay costs would be in the billions of dollars.</t>
  </si>
  <si>
    <t>even if the lack of a safe harbor for off-label prescriptions delayed the u.s. adoption of off-label covid</t>
  </si>
  <si>
    <t xml:space="preserve"> patients have received a range of off-label therapies such as hydroxychloroquine and remdesivir.</t>
  </si>
  <si>
    <t>outside the u.s., a large number of covid</t>
  </si>
  <si>
    <t xml:space="preserve"> available as generics.</t>
  </si>
  <si>
    <t>the drugs are of</t>
  </si>
  <si>
    <t xml:space="preserve"> innovation because the drugs have already been shown to be safe and have proven manufacturing and distribution facilities.</t>
  </si>
  <si>
    <t>off-label prescriptions may be an especially fertile area for covid</t>
  </si>
  <si>
    <t xml:space="preserve"> indication.</t>
  </si>
  <si>
    <t>although the fda does not have jurisdiction over physician practice, the fda may create malpractice and third-party payment concerns around off-label prescribing by saying that the prescribing physician must be well informed about the relevant medical evidence, which does not yet exist for the covid</t>
  </si>
  <si>
    <t xml:space="preserve"> the date when the drug can be distributed to patients, but the fda believes that the efficacy trials provide valuable public information that many companies would not provide if they were not required for approval (food and drug administration 2017).</t>
  </si>
  <si>
    <t>the later phases add expenses and postp</t>
  </si>
  <si>
    <t xml:space="preserve"> medicines in development have already reached phase i or beyond.</t>
  </si>
  <si>
    <t>eight of the twenty-two covid</t>
  </si>
  <si>
    <t xml:space="preserve"> covid-19 medicines in development have already reached phase i or beyond.</t>
  </si>
  <si>
    <t>-two covid-19 medicines in development have already reached phase i or beyond.</t>
  </si>
  <si>
    <t xml:space="preserve"> of the twenty-two covid-19 medicines in development have already reached phase i or beyond.</t>
  </si>
  <si>
    <t xml:space="preserve"> products that fail the fda approval process.</t>
  </si>
  <si>
    <t xml:space="preserve">twenty-two covid-19 medicines were in development as of march 2020 (phrma </t>
  </si>
  <si>
    <t xml:space="preserve"> (phrma 2020).</t>
  </si>
  <si>
    <t xml:space="preserve">twenty-two covid-19 medicines were in development as of march </t>
  </si>
  <si>
    <t xml:space="preserve"> medicines were in development as of march 2020 (phrma 2020).</t>
  </si>
  <si>
    <t>twenty-two covid</t>
  </si>
  <si>
    <t xml:space="preserve"> covid-19 medicines were in development as of march 2020 (phrma 2020).</t>
  </si>
  <si>
    <t>-two covid-19 medicines were in development as of march 2020 (phrma 2020).</t>
  </si>
  <si>
    <t xml:space="preserve"> would not only reduce mortality but would also save $17 billion for each working day that normal economic activities could be resumed.</t>
  </si>
  <si>
    <t>a vaccine or treatment for covid</t>
  </si>
  <si>
    <t xml:space="preserve">vaccines and treatments for viruses are especially active areas of medical research because each year’s viruses have unique genetics (council of economic advisers september </t>
  </si>
  <si>
    <t>berg 2003).</t>
  </si>
  <si>
    <t>all age groups benefitted from new drugs that reduce mortality, in amounts that far exceed the research and development costs for those drugs (lich</t>
  </si>
  <si>
    <t>ded to mitigate the health costs.</t>
  </si>
  <si>
    <t>in doing so, innovation reduces the duration and severity of the direct health costs as well as the costs of economic shutdowns in</t>
  </si>
  <si>
    <t xml:space="preserve"> trillion at an annual rate.</t>
  </si>
  <si>
    <t>1.1</t>
  </si>
  <si>
    <t>if a shutdown also reduced the hourly value of their time by $3.33 for 2000 hours per year for those out of the labor force and for 500 hours per year for those who work, that would be a loss of $</t>
  </si>
  <si>
    <t xml:space="preserve"> hours per year for those who work, that would be a loss of $1.1 trillion at an annual rate.</t>
  </si>
  <si>
    <t xml:space="preserve">if a shutdown also reduced the hourly value of their time by $3.33 for 2000 hours per year for those out of the labor force and for </t>
  </si>
  <si>
    <t xml:space="preserve"> hours per year for those out of the labor force and for 500 hours per year for those who work, that would be a loss of $1.1 trillion at an annual rate.</t>
  </si>
  <si>
    <t xml:space="preserve">if a shutdown also reduced the hourly value of their time by $3.33 for </t>
  </si>
  <si>
    <t xml:space="preserve"> for 2000 hours per year for those out of the labor force and for 500 hours per year for those who work, that would be a loss of $1.1 trillion at an annual rate.</t>
  </si>
  <si>
    <t xml:space="preserve">the net opportunity cost associated with on-the-job training (ojt) is therefore about $107 billion at an annual rate, as shown in table </t>
  </si>
  <si>
    <t xml:space="preserve"> billion at an annual rate, as shown in table 1.</t>
  </si>
  <si>
    <t>107</t>
  </si>
  <si>
    <t>the net opportunity cost associated with on-the-job training (ojt) is therefore about $</t>
  </si>
  <si>
    <t xml:space="preserve"> of its value is replaced with nonmarket activity.</t>
  </si>
  <si>
    <t>during a shutdown, this learning does not occur for 30 percent of the workforce, although (as with market production) i assume that about one-</t>
  </si>
  <si>
    <t>-third of its value is replaced with nonmarket activity.</t>
  </si>
  <si>
    <t xml:space="preserve">during a shutdown, this learning does not occur for 30 percent of the workforce, although (as with market production) i assume that about </t>
  </si>
  <si>
    <t xml:space="preserve"> percent of the workforce, although (as with market production) i assume that about one-third of its value is replaced with nonmarket activity.</t>
  </si>
  <si>
    <t xml:space="preserve">during a shutdown, this learning does not occur for </t>
  </si>
  <si>
    <t xml:space="preserve">i estimate the value of foregone earnings using the cross-section age-earnings profile and the average of two estimates of the age-training profile (mulligan </t>
  </si>
  <si>
    <t xml:space="preserve"> estimates of the age-training profile (mulligan 1998).</t>
  </si>
  <si>
    <t xml:space="preserve">i estimate the value of foregone earnings using the cross-section age-earnings profile and the average of </t>
  </si>
  <si>
    <t xml:space="preserve"> earnings using the cross-section age-earnings profile and the average of two estimates of the age-training profile (mulligan 1998).</t>
  </si>
  <si>
    <t>i estimate the value of foreg</t>
  </si>
  <si>
    <t xml:space="preserve"> earnings as “nonmarket” because it is usually unmeasured.</t>
  </si>
  <si>
    <t>although the market sector may be the physical location of this learning, i count the foreg</t>
  </si>
  <si>
    <t>1972</t>
  </si>
  <si>
    <t xml:space="preserve">post-graduation workers learn on the job, which shifts the composition of their compensation toward skill acquisition and away from the cash and other fringe benefits that are part of conventionally measured gdp (rosen </t>
  </si>
  <si>
    <t xml:space="preserve">as shown in table 1, the lost value of schooling is $291 billion per year of shutdown, or $73 billion per </t>
  </si>
  <si>
    <t xml:space="preserve"> billion per quarter.</t>
  </si>
  <si>
    <t>as shown in table 1, the lost value of schooling is $291 billion per year of shutdown, or $</t>
  </si>
  <si>
    <t xml:space="preserve"> billion per year of shutdown, or $73 billion per quarter.</t>
  </si>
  <si>
    <t>as shown in table 1, the lost value of schooling is $</t>
  </si>
  <si>
    <t>, the lost value of schooling is $291 billion per year of shutdown, or $73 billion per quarter.</t>
  </si>
  <si>
    <t>i take the loss of student output attributable to their time and effort to be half of the $</t>
  </si>
  <si>
    <t xml:space="preserve">i take the loss of student output attributable to their time and effort to be </t>
  </si>
  <si>
    <t xml:space="preserve"> per hour of student time.</t>
  </si>
  <si>
    <t>the average estimate from the two approaches is therefore $</t>
  </si>
  <si>
    <t xml:space="preserve"> approaches is therefore $6.67 per hour of student time.</t>
  </si>
  <si>
    <t xml:space="preserve">the average estimate from the </t>
  </si>
  <si>
    <t>8.84</t>
  </si>
  <si>
    <t>as noted above, about half of that output should be attributed to teachers and administrators, thereby putting the value of output generated by the average student’s hour in school at $</t>
  </si>
  <si>
    <t xml:space="preserve"> of that output should be attributed to teachers and administrators, thereby putting the value of output generated by the average student’s hour in school at $8.84.</t>
  </si>
  <si>
    <t xml:space="preserve">as noted above, about </t>
  </si>
  <si>
    <t xml:space="preserve"> per hour spent in school.</t>
  </si>
  <si>
    <t>17.50</t>
  </si>
  <si>
    <t>for a student 8 years before that point, the present value of that loss is about $21000 or about $</t>
  </si>
  <si>
    <t xml:space="preserve"> or about $17.50 per hour spent in school.</t>
  </si>
  <si>
    <t>21000</t>
  </si>
  <si>
    <t>for a student 8 years before that point, the present value of that loss is about $</t>
  </si>
  <si>
    <t xml:space="preserve"> years before that point, the present value of that loss is about $21000 or about $17.50 per hour spent in school.</t>
  </si>
  <si>
    <t>8</t>
  </si>
  <si>
    <t xml:space="preserve">for a student </t>
  </si>
  <si>
    <t xml:space="preserve"> from the perspective of a young adult transitioning from school to the labor market.</t>
  </si>
  <si>
    <t>33000</t>
  </si>
  <si>
    <t>taking that return to be 8 percent per year of schooling and the present value of lifetime earnings to $417000 (that corresponds to a starting salary of about $25000), losing a year of schooling costs $</t>
  </si>
  <si>
    <t>), losing a year of schooling costs $33000 from the perspective of a young adult transitioning from school to the labor market.</t>
  </si>
  <si>
    <t>25000</t>
  </si>
  <si>
    <t>taking that return to be 8 percent per year of schooling and the present value of lifetime earnings to $417000 (that corresponds to a starting salary of about $</t>
  </si>
  <si>
    <t xml:space="preserve"> (that corresponds to a starting salary of about $25000), losing a year of schooling costs $33000 from the perspective of a young adult transitioning from school to the labor market.</t>
  </si>
  <si>
    <t>417000</t>
  </si>
  <si>
    <t>taking that return to be 8 percent per year of schooling and the present value of lifetime earnings to $</t>
  </si>
  <si>
    <t xml:space="preserve"> percent per year of schooling and the present value of lifetime earnings to $417000 (that corresponds to a starting salary of about $25000), losing a year of schooling costs $33000 from the perspective of a young adult transitioning from school to the labor market.</t>
  </si>
  <si>
    <t xml:space="preserve">taking that return to be </t>
  </si>
  <si>
    <t xml:space="preserve">if a yearlong shutdown resulted in today’s students reaching adulthood with an average of one year less of schooling, that would reduce their earnings by what labor economists call “the rate of return to schooling” (becker 1964/1993, mincer </t>
  </si>
  <si>
    <t>, mincer 1974).</t>
  </si>
  <si>
    <t>1993</t>
  </si>
  <si>
    <t>if a yearlong shutdown resulted in today’s students reaching adulthood with an average of one year less of schooling, that would reduce their earnings by what labor economists call “the rate of return to schooling” (becker 1964/</t>
  </si>
  <si>
    <t>/1993, mincer 1974).</t>
  </si>
  <si>
    <t>1964</t>
  </si>
  <si>
    <t xml:space="preserve">if a yearlong shutdown resulted in today’s students reaching adulthood with an average of one year less of schooling, that would reduce their earnings by what labor economists call “the rate of return to schooling” (becker </t>
  </si>
  <si>
    <t xml:space="preserve"> year less of schooling, that would reduce their earnings by what labor economists call “the rate of return to schooling” (becker 1964/1993, mincer 1974).</t>
  </si>
  <si>
    <t xml:space="preserve">if a yearlong shutdown resulted in today’s students reaching adulthood with an average of </t>
  </si>
  <si>
    <t>various studies, such as breton (2013), estimate that foregone earnings are about 102 percent of the direct costs, which would be $377 billion in 2018, or about $</t>
  </si>
  <si>
    <t xml:space="preserve">various studies, such as breton (2013), estimate that foregone earnings are about 102 percent of the direct costs, which would be $377 billion in </t>
  </si>
  <si>
    <t>various studies, such as breton (2013), estimate that foregone earnings are about 102 percent of the direct costs, which would be $</t>
  </si>
  <si>
    <t xml:space="preserve">various studies, such as breton (2013), estimate that foregone earnings are about </t>
  </si>
  <si>
    <t xml:space="preserve"> earnings are about 102 percent of the direct costs, which would be $377 billion in 2018, or about $4.5 per hour that the average student was in school.</t>
  </si>
  <si>
    <t>various studies, such as breton (2013), estimate that foreg</t>
  </si>
  <si>
    <t>), estimate that foregone earnings are about 102 percent of the direct costs, which would be $377 billion in 2018, or about $4.5 per hour that the average student was in school.</t>
  </si>
  <si>
    <t>various studies, such as breton (</t>
  </si>
  <si>
    <t xml:space="preserve">for the input approach, note that the direct costs of schooling (e.g., salaries for teachers and administrators) were $370 billion in </t>
  </si>
  <si>
    <t>for the input approach, note that the direct costs of schooling (e.g., salaries for teachers and administrators) were $</t>
  </si>
  <si>
    <t xml:space="preserve"> based on inputs and the other based on outputs.</t>
  </si>
  <si>
    <t xml:space="preserve">i quantify the nonmarket component of the value of school according to two methods: </t>
  </si>
  <si>
    <t xml:space="preserve"> methods: one based on inputs and the other based on outputs.</t>
  </si>
  <si>
    <t xml:space="preserve">i quantify the nonmarket component of the value of school according to </t>
  </si>
  <si>
    <t>nt of the value of school according to two methods: one based on inputs and the other based on outputs.</t>
  </si>
  <si>
    <t>i quantify the nonmarket comp</t>
  </si>
  <si>
    <t xml:space="preserve"> earnings” and not counted in conventional gdp measures, are combined with direct schooling costs such as the education industry’s payroll and capital expenses because the students, their parents, or their community value the results of schooling.</t>
  </si>
  <si>
    <t>their time and efforts, which are known as “foreg</t>
  </si>
  <si>
    <t>24</t>
  </si>
  <si>
    <t>s of the $24 billion daily gdp loss is a welfare loss, even without considering any productivity change in the nonmarket sector.</t>
  </si>
  <si>
    <t>-thirds of the $24 billion daily gdp loss is a welfare loss, even without considering any productivity change in the nonmarket sector.</t>
  </si>
  <si>
    <t>, which can be added to the gdp losses from section i.a to arrive at a welfare loss of shutdown as compared to normal economic activity.</t>
  </si>
  <si>
    <t>theless valuable.</t>
  </si>
  <si>
    <t>their learning from normal face-to-face interactions with teachers and fellow students is not fully reflected in gdp, but is n</t>
  </si>
  <si>
    <t xml:space="preserve">the nonmarket/home sector is affected by shutdown through two basic channels, as shown in table </t>
  </si>
  <si>
    <t xml:space="preserve">the nonmarket/home sector is affected by shutdown through </t>
  </si>
  <si>
    <t xml:space="preserve">i have not yet estimated the fund-distribution costs or include them in table </t>
  </si>
  <si>
    <t xml:space="preserve">in addition to the financing costs, the distribution of the funds from the relief packages will also reduce gdp by reducing incentives to work, reducing the incentives of workers to shift into industries that need them most, and otherwise distorting the behavior of individuals and businesses (mulligan </t>
  </si>
  <si>
    <t>1.95</t>
  </si>
  <si>
    <t>a shutdown lasting a full year would therefore have deadweight financing costs of $</t>
  </si>
  <si>
    <t xml:space="preserve"> financing costs of $1.95 trillion.</t>
  </si>
  <si>
    <t>a shutdown lasting a full year would therefore have deadw</t>
  </si>
  <si>
    <t xml:space="preserve"> year;</t>
  </si>
  <si>
    <t xml:space="preserve">i further assume that the relief package is adequate for a shutdown of only one </t>
  </si>
  <si>
    <t xml:space="preserve"> half year;</t>
  </si>
  <si>
    <t xml:space="preserve">i further assume that the relief package is adequate for a shutdown of only </t>
  </si>
  <si>
    <t xml:space="preserve"> of the amount of the tax.</t>
  </si>
  <si>
    <t xml:space="preserve">the collection of those taxes, or reduction in that spending, involves costs that i approximate as </t>
  </si>
  <si>
    <t xml:space="preserve"> trillion in present value of additional taxes or reduced federal spending.</t>
  </si>
  <si>
    <t>the cares act and the ffcra act are the two largest relief packages passed in the u.s.  the congressional budget office (2020a, 2020b) estimates that combined their financing will require $</t>
  </si>
  <si>
    <t>b) estimates that combined their financing will require $1.95 trillion in present value of additional taxes or reduced federal spending.</t>
  </si>
  <si>
    <t xml:space="preserve">the cares act and the ffcra act are the two largest relief packages passed in the u.s.  the congressional budget office (2020a, </t>
  </si>
  <si>
    <t>a, 2020b) estimates that combined their financing will require $1.95 trillion in present value of additional taxes or reduced federal spending.</t>
  </si>
  <si>
    <t>the cares act and the ffcra act are the two largest relief packages passed in the u.s.  the congressional budget office (</t>
  </si>
  <si>
    <t xml:space="preserve"> largest relief packages passed in the u.s.  the congressional budget office (2020a, 2020b) estimates that combined their financing will require $1.95 trillion in present value of additional taxes or reduced federal spending.</t>
  </si>
  <si>
    <t xml:space="preserve">the cares act and the ffcra act are the </t>
  </si>
  <si>
    <t>t that the costs of inequality are not fully eliminated, the costs associated with the relief-induced gdp reductions (estimated in this document) are a lower bound on the cost associated with the inequality.</t>
  </si>
  <si>
    <t>to the ex</t>
  </si>
  <si>
    <t xml:space="preserve">the fact that the demand for redistribution increases in these situations suggests that the inequality itself is a cost large enough that people are willing to tolerate further increases in the average costs (i.e., further decreases in gdp, both during the shutdown and afterwards) in order to mitigate the costs for those disproportionately affected (mulligan 2014, mulligan 2012, chapter </t>
  </si>
  <si>
    <t>, chapter 10).</t>
  </si>
  <si>
    <t xml:space="preserve">the fact that the demand for redistribution increases in these situations suggests that the inequality itself is a cost large enough that people are willing to tolerate further increases in the average costs (i.e., further decreases in gdp, both during the shutdown and afterwards) in order to mitigate the costs for those disproportionately affected (mulligan 2014, mulligan </t>
  </si>
  <si>
    <t>, mulligan 2012, chapter 10).</t>
  </si>
  <si>
    <t>2014</t>
  </si>
  <si>
    <t xml:space="preserve">the fact that the demand for redistribution increases in these situations suggests that the inequality itself is a cost large enough that people are willing to tolerate further increases in the average costs (i.e., further decreases in gdp, both during the shutdown and afterwards) in order to mitigate the costs for those disproportionately affected (mulligan </t>
  </si>
  <si>
    <t>tion of helping some of those who are disproportionately bearing the costs.</t>
  </si>
  <si>
    <t>public programs are being created and expanded with the in</t>
  </si>
  <si>
    <t xml:space="preserve"> shows only averages.</t>
  </si>
  <si>
    <t xml:space="preserve">table </t>
  </si>
  <si>
    <t xml:space="preserve"> billion annual value of black market transactions that were formerly in the legitimate economy.</t>
  </si>
  <si>
    <t>539</t>
  </si>
  <si>
    <t>because the black market is entirely different in terms of measurement (albeit perhaps similar in terms of transactions), table 1’s “nonmarket” heading shows the $</t>
  </si>
  <si>
    <t>’s “nonmarket” heading shows the $539 billion annual value of black market transactions that were formerly in the legitimate economy.</t>
  </si>
  <si>
    <t xml:space="preserve">because the black market is entirely different in terms of measurement (albeit perhaps similar in terms of transactions), table </t>
  </si>
  <si>
    <t xml:space="preserve"> costs of relief policy are financing costs, without any distribution costs.</t>
  </si>
  <si>
    <t>deadw</t>
  </si>
  <si>
    <t>%, which is the average of input and output methods.</t>
  </si>
  <si>
    <t>-26.7</t>
  </si>
  <si>
    <t xml:space="preserve">the impact on market production is taken as </t>
  </si>
  <si>
    <t xml:space="preserve"> cost of relief policy</t>
  </si>
  <si>
    <t xml:space="preserve"> percent based on holidays.</t>
  </si>
  <si>
    <t xml:space="preserve">my estimate of the gdp effect of shutdown, shown in table 1 and what follows, is the average of this 28 percent and the aforementioned </t>
  </si>
  <si>
    <t>d 25 percent based on holidays.</t>
  </si>
  <si>
    <t>my estimate of the gdp effect of shutdown, shown in table 1 and what follows, is the average of this 28 percent and the aforementi</t>
  </si>
  <si>
    <t xml:space="preserve"> percent and the aforementioned 25 percent based on holidays.</t>
  </si>
  <si>
    <t>28</t>
  </si>
  <si>
    <t xml:space="preserve">my estimate of the gdp effect of shutdown, shown in table 1 and what follows, is the average of this </t>
  </si>
  <si>
    <t xml:space="preserve"> and what follows, is the average of this 28 percent and the aforementioned 25 percent based on holidays.</t>
  </si>
  <si>
    <t xml:space="preserve">my estimate of the gdp effect of shutdown, shown in table </t>
  </si>
  <si>
    <t xml:space="preserve">if half of the capital in those workplaces is idle and not replaced by capital located in home offices, then capital utilization has fallen by 30 percent and gdp by </t>
  </si>
  <si>
    <t xml:space="preserve"> percent and gdp by 28 percent.</t>
  </si>
  <si>
    <t xml:space="preserve">if half of the capital in those workplaces is idle and not replaced by capital located in home offices, then capital utilization has fallen by </t>
  </si>
  <si>
    <t xml:space="preserve"> of the capital in those workplaces is idle and not replaced by capital located in home offices, then capital utilization has fallen by 30 percent and gdp by 28 percent.</t>
  </si>
  <si>
    <t xml:space="preserve">if </t>
  </si>
  <si>
    <t xml:space="preserve"> percent are now absent from their workplaces either due to not working or working from home.</t>
  </si>
  <si>
    <t>61</t>
  </si>
  <si>
    <t xml:space="preserve">moreover, among those working in february 2020, between 59 and </t>
  </si>
  <si>
    <t xml:space="preserve"> and 61 percent are now absent from their workplaces either due to not working or working from home.</t>
  </si>
  <si>
    <t>59</t>
  </si>
  <si>
    <t xml:space="preserve">moreover, among those working in february 2020, between </t>
  </si>
  <si>
    <t>, between 59 and 61 percent are now absent from their workplaces either due to not working or working from home.</t>
  </si>
  <si>
    <t xml:space="preserve">moreover, among those working in february </t>
  </si>
  <si>
    <t xml:space="preserve"> percent from february.</t>
  </si>
  <si>
    <t xml:space="preserve">they find that working hours per working age adult declined </t>
  </si>
  <si>
    <t>a third method takes a similar approach, but measures the labor reduction from a recent survey conducted by bick and blandin (</t>
  </si>
  <si>
    <t xml:space="preserve"> method takes a similar approach, but measures the labor reduction from a recent survey conducted by bick and blandin (2020).</t>
  </si>
  <si>
    <t xml:space="preserve">a </t>
  </si>
  <si>
    <t xml:space="preserve"> and focuses on quantities of capital and labor engaged in production.</t>
  </si>
  <si>
    <t>a second method uses the production side al</t>
  </si>
  <si>
    <t xml:space="preserve"> hand, a segment of the workforce will engage in telework during shutdown that they would not perform on a normal weekend or holiday.</t>
  </si>
  <si>
    <t xml:space="preserve">the q2 growth rate would be less negative to the extent that a shutdown was in place for only part of the </t>
  </si>
  <si>
    <t>t that a shutdown was in place for only part of the quarter or for part of the country.</t>
  </si>
  <si>
    <t>the q2 growth rate would be less negative to the ex</t>
  </si>
  <si>
    <t xml:space="preserve"> growth rate would be less negative to the extent that a shutdown was in place for only part of the quarter or for part of the country.</t>
  </si>
  <si>
    <t>applying the same approach to 2020-q1, with a shutdown occurring for one-eighth of the quarter, 2020-q1 real gdp (in 2020-q2 prices) would be $</t>
  </si>
  <si>
    <t>applying the same approach to 2020-q1, with a shutdown occurring for one-eighth of the quarter, 2020-q1 real gdp (in 2020-q</t>
  </si>
  <si>
    <t xml:space="preserve">applying the same approach to 2020-q1, with a shutdown occurring for one-eighth of the quarter, 2020-q1 real gdp (in </t>
  </si>
  <si>
    <t>applying the same approach to 2020-q1, with a shutdown occurring for one-eighth of the quarter, 2020-q</t>
  </si>
  <si>
    <t xml:space="preserve">applying the same approach to 2020-q1, with a shutdown occurring for one-eighth of the quarter, </t>
  </si>
  <si>
    <t xml:space="preserve">applying the same approach to 2020-q1, with a shutdown occurring for one-eighth of the </t>
  </si>
  <si>
    <t>applying the same approach to 2020-q1, with a shutdown occurring for one-</t>
  </si>
  <si>
    <t xml:space="preserve">applying the same approach to 2020-q1, with a shutdown occurring for </t>
  </si>
  <si>
    <t>, with a shutdown occurring for one-eighth of the quarter, 2020-q1 real gdp (in 2020-q2 prices) would be $5.4 trillion.</t>
  </si>
  <si>
    <t>-q1, with a shutdown occurring for one-eighth of the quarter, 2020-q1 real gdp (in 2020-q2 prices) would be $5.4 trillion.</t>
  </si>
  <si>
    <t>in other words, if seasonally-adjusted gdp 2020-q2 would have been $5.5 trillion at a quarterly rate, then changing all of that quarter’s working days to the functional equivalent of a weekend or holiday would reduce the quarter’s gdp to $</t>
  </si>
  <si>
    <t xml:space="preserve">in other words, if seasonally-adjusted gdp 2020-q2 would have been $5.5 trillion at a quarterly rate, then changing all of that quarter’s working days to the functional equivalent of a weekend or holiday would reduce the </t>
  </si>
  <si>
    <t xml:space="preserve">in other words, if seasonally-adjusted gdp 2020-q2 would have been $5.5 trillion at a quarterly rate, then changing all of that </t>
  </si>
  <si>
    <t>ly rate, then changing all of that quarter’s working days to the functional equivalent of a weekend or holiday would reduce the quarter’s gdp to $4.2 trillion.</t>
  </si>
  <si>
    <t xml:space="preserve"> trillion at a quarterly rate, then changing all of that quarter’s working days to the functional equivalent of a weekend or holiday would reduce the quarter’s gdp to $4.2 trillion.</t>
  </si>
  <si>
    <t xml:space="preserve"> would have been $5.5 trillion at a quarterly rate, then changing all of that quarter’s working days to the functional equivalent of a weekend or holiday would reduce the quarter’s gdp to $4.2 trillion.</t>
  </si>
  <si>
    <t>-q2 would have been $5.5 trillion at a quarterly rate, then changing all of that quarter’s working days to the functional equivalent of a weekend or holiday would reduce the quarter’s gdp to $4.2 trillion.</t>
  </si>
  <si>
    <t xml:space="preserve">no policy response would itself involve economic contraction during the period of time in which no treatment or vaccine is available, although such a contraction is expected to cost far less because individuals and business would still be free to pursue the activities that are most valued to them (mulligan, murphy and topel </t>
  </si>
  <si>
    <t>t with a conclusion that the war is worth fighting – that depends on quantifying the benefits, which are surely significant given the value that people place on health and longevity.</t>
  </si>
  <si>
    <t>to be clear, the cost-enumeration exercise can be consis</t>
  </si>
  <si>
    <t xml:space="preserve"> trillion per year of shutdown.</t>
  </si>
  <si>
    <t>the sum of these puts the welfare costs at about $</t>
  </si>
  <si>
    <t>i estimate that the value of nonmarket production falls below what it would be if the normal market inputs were available by about $</t>
  </si>
  <si>
    <t xml:space="preserve"> trillion of lost market production.</t>
  </si>
  <si>
    <t>black markets and additional time in the nonmarket sector replace about $2 trillion of the $</t>
  </si>
  <si>
    <t xml:space="preserve"> trillion of the $8 trillion of lost market production.</t>
  </si>
  <si>
    <t>black markets and additional time in the nonmarket sector replace about $</t>
  </si>
  <si>
    <t>relief efforts further reduce the current value of future economic activity by about $</t>
  </si>
  <si>
    <t>6</t>
  </si>
  <si>
    <t>i estimate that the shutdown of nonessential businesses reduces market production by almost $</t>
  </si>
  <si>
    <t>ssential businesses reduces market production by almost $6 trillion per year of shutdown.</t>
  </si>
  <si>
    <t>i estimate that the shutdown of n</t>
  </si>
  <si>
    <t>s of millions more would be accumulating skills during the early phase of their careers.</t>
  </si>
  <si>
    <t xml:space="preserve">human capital accumulation is an important instance, with more than 70 million children and young adults normally enrolled in school and </t>
  </si>
  <si>
    <t xml:space="preserve"> million children and young adults normally enrolled in school and tens of millions more would be accumulating skills during the early phase of their careers.</t>
  </si>
  <si>
    <t>70</t>
  </si>
  <si>
    <t xml:space="preserve">human capital accumulation is an important instance, with more than </t>
  </si>
  <si>
    <t xml:space="preserve"> trillion per year that the shutdown lasts – that will someday be required to finance the relief efforts.</t>
  </si>
  <si>
    <t>this documents estimates a lower bound from the deadweight costs of taxation – about $</t>
  </si>
  <si>
    <t xml:space="preserve"> costs of taxation – about $2 trillion per year that the shutdown lasts – that will someday be required to finance the relief efforts.</t>
  </si>
  <si>
    <t>this documents estimates a lower bound from the deadw</t>
  </si>
  <si>
    <t xml:space="preserve"> reasons why the dollar amount of the reduction in gdp understates the welfare cost of a shutdown.</t>
  </si>
  <si>
    <t xml:space="preserve">however, there are </t>
  </si>
  <si>
    <t>2020.</t>
  </si>
  <si>
    <t xml:space="preserve">those methods include (i) historical data on the relationship between annual gdp and the number of workdays in a year, (ii) historical data on the fraction of government labor that has been deemed “essential” during government shutdowns, and (iii) new data from bick and blandin (2020) on the amount and location of aggregate work hours circa april 1, </t>
  </si>
  <si>
    <t>, 2020.</t>
  </si>
  <si>
    <t xml:space="preserve">those methods include (i) historical data on the relationship between annual gdp and the number of workdays in a year, (ii) historical data on the fraction of government labor that has been deemed “essential” during government shutdowns, and (iii) new data from bick and blandin (2020) on the amount and location of aggregate work hours circa april </t>
  </si>
  <si>
    <t>) on the amount and location of aggregate work hours circa april 1, 2020.</t>
  </si>
  <si>
    <t>those methods include (i) historical data on the relationship between annual gdp and the number of workdays in a year, (ii) historical data on the fraction of government labor that has been deemed “essential” during government shutdowns, and (iii) new data from bick and blandin (</t>
  </si>
  <si>
    <t xml:space="preserve"> percent below normal in the short run.</t>
  </si>
  <si>
    <t>-28</t>
  </si>
  <si>
    <t>three novel methods and data indicate that the shutdown of “nonessential” businesses puts market production 25</t>
  </si>
  <si>
    <t>-28 percent below normal in the short run.</t>
  </si>
  <si>
    <t xml:space="preserve">three novel methods and data indicate that the shutdown of “nonessential” businesses puts market production </t>
  </si>
  <si>
    <t>ssential” businesses puts market production 25-28 percent below normal in the short run.</t>
  </si>
  <si>
    <t>three novel methods and data indicate that the shutdown of “n</t>
  </si>
  <si>
    <t xml:space="preserve"> novel methods and data indicate that the shutdown of “nonessential” businesses puts market production 25-28 percent below normal in the short run.</t>
  </si>
  <si>
    <t>three</t>
  </si>
  <si>
    <t>lderly shoppers.</t>
  </si>
  <si>
    <t>to name an example, retailers such as walmart and whole foods have implemented special shopping hours for senior citizens, who are more vulnerable to the virus, so that they do not have to mingle with n</t>
  </si>
  <si>
    <t>-19.</t>
  </si>
  <si>
    <t>business and civic organizations can also innovate how they accomplish their traditional missions while mitigating harms from covid</t>
  </si>
  <si>
    <t>sity and duration of the war, yet federal policy continues to be a major barrier to that innovation.</t>
  </si>
  <si>
    <t>medical innovation can reduce the in</t>
  </si>
  <si>
    <t xml:space="preserve">the lost surplus from market activity, while massive, nonetheless understates the true costs of the sacrifices that households and businesses are making, which i estimate to total almost $15000 per household per </t>
  </si>
  <si>
    <t>15000</t>
  </si>
  <si>
    <t>theless understates the true costs of the sacrifices that households and businesses are making, which i estimate to total almost $15000 per household per quarter before counting any health costs.</t>
  </si>
  <si>
    <t>the lost surplus from market activity, while massive, n</t>
  </si>
  <si>
    <t>ssential businesses were not allowed to operate during that quarter.</t>
  </si>
  <si>
    <t>this document enumerates and quantifies the sacrifices, showing why negative 50 percent is an optimistic projection for the annualized growth rate of u.s. gdp in 2020 q2 if the n</t>
  </si>
  <si>
    <t xml:space="preserve"> virus.</t>
  </si>
  <si>
    <t>we are currently fighting a war against the covid</t>
  </si>
  <si>
    <t>ECB.  Assume that U.S. is closer to Germany</t>
  </si>
  <si>
    <t>Assumed</t>
  </si>
  <si>
    <t>Annualized growth is normally 2%</t>
  </si>
  <si>
    <t>https://www.govexec.com/pay-benefits/2019/09/agencies-paid-federal-employees-37-billion-not-work-during-recent-shutdowns/159936/</t>
  </si>
  <si>
    <t>Q2 only</t>
  </si>
  <si>
    <t>Using the actual 64 working days</t>
  </si>
  <si>
    <t>Applied to household employment (millions).</t>
  </si>
  <si>
    <t>60</t>
  </si>
  <si>
    <t>full-time school  https://www2.census.gov/programs-surveys/demo/tables/school-enrollment/2018/2018-cps/tab01-01.xlsx and morg2016</t>
  </si>
  <si>
    <t>MDWC of 0.5, $1.8 trillion on CARES (https://www.cbo.gov/publication/56334) and $0.2 trillion for https://www.cbo.gov/system/files/2020-04/HR6201.pdf.  Assumed to last for 6 months.</t>
  </si>
  <si>
    <t>ERP 2019</t>
  </si>
  <si>
    <t>CostsGDPChanges.nb</t>
  </si>
  <si>
    <t>see footnote</t>
  </si>
  <si>
    <t>ERP 2019.  Includes implicit taxes on employment and income.</t>
  </si>
  <si>
    <t>Line 75 of “Gross output by Industry”</t>
  </si>
  <si>
    <t>Table 1 of Breton</t>
  </si>
  <si>
    <t>4.3</t>
  </si>
  <si>
    <t>2% for normal growth</t>
  </si>
  <si>
    <t>6.58</t>
  </si>
  <si>
    <t xml:space="preserve"> of the $6.58, or about $3.29 per hour that they would have been in school.</t>
  </si>
  <si>
    <t>, or about $3.29 per hour that they would have been in school.</t>
  </si>
  <si>
    <t>3.29</t>
  </si>
  <si>
    <t>i take the loss of student output attributable to their time and effort to be half of the $6.58, or about $</t>
  </si>
  <si>
    <t>287</t>
  </si>
  <si>
    <t>72</t>
  </si>
  <si>
    <t>Quantitative Prose in "Economic Activity and the Value of Medical Innovation during a Pandemic"</t>
  </si>
  <si>
    <t>CEA (2019)</t>
  </si>
  <si>
    <t>PhRMA (2020)</t>
  </si>
  <si>
    <t>dimasi, grabowski and hansen (2016)</t>
  </si>
  <si>
    <t>Bick and Blandin</t>
  </si>
  <si>
    <t>CPT Figure 12-1</t>
  </si>
  <si>
    <t>.7 squared (not .72)</t>
  </si>
  <si>
    <t>ERP 2020</t>
  </si>
  <si>
    <t>Data Appendix</t>
  </si>
  <si>
    <t>Mulligan, Casey B.  "Economic Activity and the Value of Medical Innovation during a Pandemic."  NBER working paper, April 2020.</t>
  </si>
  <si>
    <t>Excel Tab</t>
  </si>
  <si>
    <t>Number of workdays by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</si>
</sst>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
    <numFmt numFmtId="165" formatCode="0.000"/>
    <numFmt numFmtId="166" formatCode="_(* #,##0_);_(* \(#,##0\);_(* &quot;-&quot;??_);_(@_)"/>
    <numFmt numFmtId="167" formatCode="0.0"/>
    <numFmt numFmtId="168" formatCode="0.0%"/>
    <numFmt numFmtId="169" formatCode="#,##0,&quot;,000&quot;;\ \(#,##0,&quot;,000&quot;\)"/>
  </numFmts>
  <fonts count="13">
    <font>
      <sz val="12"/>
      <color theme="1"/>
      <name val="Times New Roman"/>
      <family val="2"/>
      <scheme val="minor"/>
    </font>
    <font>
      <sz val="10"/>
      <name val="Arial"/>
      <family val="2"/>
    </font>
    <font>
      <b/>
      <sz val="12"/>
      <color theme="1"/>
      <name val="Times New Roman"/>
      <family val="2"/>
      <scheme val="minor"/>
    </font>
    <font>
      <u val="single"/>
      <sz val="12"/>
      <color theme="10"/>
      <name val="Times New Roman"/>
      <family val="2"/>
      <scheme val="minor"/>
    </font>
    <font>
      <u val="single"/>
      <sz val="12"/>
      <color theme="11"/>
      <name val="Times New Roman"/>
      <family val="2"/>
      <scheme val="minor"/>
    </font>
    <font>
      <i/>
      <sz val="12"/>
      <color theme="1"/>
      <name val="Times New Roman"/>
      <family val="2"/>
      <scheme val="minor"/>
    </font>
    <font>
      <u val="single"/>
      <sz val="12"/>
      <color theme="1"/>
      <name val="Times New Roman"/>
      <family val="2"/>
      <scheme val="minor"/>
    </font>
    <font>
      <sz val="11"/>
      <color indexed="8"/>
      <name val="Times New Roman"/>
      <family val="2"/>
      <scheme val="minor"/>
    </font>
    <font>
      <b/>
      <sz val="12"/>
      <color indexed="8"/>
      <name val="Times New Roman"/>
      <family val="2"/>
      <scheme val="minor"/>
    </font>
    <font>
      <sz val="12"/>
      <color indexed="8"/>
      <name val="Times New Roman"/>
      <family val="2"/>
      <scheme val="minor"/>
    </font>
    <font>
      <sz val="12"/>
      <color rgb="FF000000"/>
      <name val="Times New Roman"/>
      <family val="2"/>
      <scheme val="minor"/>
    </font>
    <font>
      <b/>
      <sz val="12"/>
      <color rgb="FF3F3F3F"/>
      <name val="Times New Roman"/>
      <family val="2"/>
      <scheme val="minor"/>
    </font>
    <font>
      <sz val="11"/>
      <color theme="1"/>
      <name val="Times New Roman"/>
      <family val="2"/>
      <scheme val="minor"/>
    </font>
  </fonts>
  <fills count="3">
    <fill>
      <patternFill/>
    </fill>
    <fill>
      <patternFill patternType="gray125"/>
    </fill>
    <fill>
      <patternFill patternType="solid">
        <fgColor rgb="FFF2F2F2"/>
        <bgColor indexed="64"/>
      </patternFill>
    </fill>
  </fills>
  <borders count="3">
    <border>
      <left/>
      <right/>
      <top/>
      <bottom/>
      <diagonal/>
    </border>
    <border>
      <left style="thin">
        <color rgb="FF3F3F3F"/>
      </left>
      <right style="thin">
        <color rgb="FF3F3F3F"/>
      </right>
      <top style="thin">
        <color rgb="FF3F3F3F"/>
      </top>
      <bottom style="thin">
        <color rgb="FF3F3F3F"/>
      </bottom>
    </border>
    <border>
      <left/>
      <right/>
      <top/>
      <bottom style="thin"/>
    </border>
  </borders>
  <cellStyleXfs count="2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2" borderId="1" applyNumberFormat="0" applyAlignment="0" applyProtection="0"/>
    <xf numFmtId="0" fontId="12"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67">
    <xf numFmtId="0" fontId="0" fillId="0" borderId="0" xfId="0"/>
    <xf numFmtId="0" fontId="2" fillId="0" borderId="0" xfId="0" applyFont="1"/>
    <xf numFmtId="0" fontId="0" fillId="0" borderId="0" xfId="0" applyAlignment="1">
      <alignment horizontal="left" indent="1"/>
    </xf>
    <xf numFmtId="0" fontId="0" fillId="0" borderId="2" xfId="0" applyBorder="1"/>
    <xf numFmtId="0" fontId="0" fillId="0" borderId="2" xfId="0" applyBorder="1" applyAlignment="1">
      <alignment horizontal="right"/>
    </xf>
    <xf numFmtId="0" fontId="3" fillId="0" borderId="0" xfId="24"/>
    <xf numFmtId="3" fontId="0" fillId="0" borderId="0" xfId="0" applyNumberFormat="1"/>
    <xf numFmtId="0" fontId="5" fillId="0" borderId="0" xfId="0" applyFont="1" quotePrefix="1"/>
    <xf numFmtId="164" fontId="0" fillId="0" borderId="0" xfId="0" applyNumberFormat="1"/>
    <xf numFmtId="0" fontId="0" fillId="0" borderId="0" xfId="0" applyAlignment="1">
      <alignment horizontal="left"/>
    </xf>
    <xf numFmtId="0" fontId="0" fillId="0" borderId="2" xfId="0" applyBorder="1" applyAlignment="1">
      <alignment horizontal="left" indent="1"/>
    </xf>
    <xf numFmtId="3" fontId="0" fillId="0" borderId="2" xfId="0" applyNumberFormat="1" applyBorder="1"/>
    <xf numFmtId="164" fontId="0" fillId="0" borderId="2" xfId="0" applyNumberFormat="1" applyBorder="1"/>
    <xf numFmtId="0" fontId="0" fillId="0" borderId="0" xfId="0" applyAlignment="1" quotePrefix="1">
      <alignment horizontal="left" indent="1"/>
    </xf>
    <xf numFmtId="0" fontId="0" fillId="0" borderId="0" xfId="0" applyAlignment="1">
      <alignment horizontal="right" wrapText="1"/>
    </xf>
    <xf numFmtId="0" fontId="0" fillId="0" borderId="2" xfId="0" applyBorder="1" applyAlignment="1">
      <alignment horizontal="right" wrapText="1"/>
    </xf>
    <xf numFmtId="0" fontId="6" fillId="0" borderId="0" xfId="0" applyFont="1"/>
    <xf numFmtId="0" fontId="0" fillId="0" borderId="2" xfId="0" applyFill="1" applyBorder="1" applyAlignment="1">
      <alignment horizontal="left"/>
    </xf>
    <xf numFmtId="3" fontId="0" fillId="0" borderId="0" xfId="0" applyNumberFormat="1" applyAlignment="1">
      <alignment horizontal="right"/>
    </xf>
    <xf numFmtId="0" fontId="8" fillId="0" borderId="0" xfId="68" applyFont="1">
      <alignment/>
      <protection/>
    </xf>
    <xf numFmtId="0" fontId="7" fillId="0" borderId="0" xfId="68">
      <alignment/>
      <protection/>
    </xf>
    <xf numFmtId="0" fontId="9" fillId="0" borderId="2" xfId="68" applyFont="1" applyBorder="1" applyAlignment="1">
      <alignment wrapText="1"/>
      <protection/>
    </xf>
    <xf numFmtId="0" fontId="10" fillId="0" borderId="2" xfId="68" applyFont="1" applyBorder="1" applyAlignment="1">
      <alignment horizontal="right"/>
      <protection/>
    </xf>
    <xf numFmtId="0" fontId="9" fillId="0" borderId="2" xfId="68" applyFont="1" applyBorder="1" applyAlignment="1">
      <alignment horizontal="right" wrapText="1"/>
      <protection/>
    </xf>
    <xf numFmtId="0" fontId="9" fillId="0" borderId="0" xfId="68" applyFont="1">
      <alignment/>
      <protection/>
    </xf>
    <xf numFmtId="2" fontId="0" fillId="0" borderId="0" xfId="0" applyNumberFormat="1"/>
    <xf numFmtId="0" fontId="0" fillId="0" borderId="0" xfId="0" applyAlignment="1">
      <alignment horizontal="right"/>
    </xf>
    <xf numFmtId="14" fontId="0" fillId="0" borderId="0" xfId="0" applyNumberFormat="1"/>
    <xf numFmtId="0" fontId="2" fillId="0" borderId="0" xfId="79" applyFont="1">
      <alignment/>
      <protection/>
    </xf>
    <xf numFmtId="0" fontId="12" fillId="0" borderId="0" xfId="79">
      <alignment/>
      <protection/>
    </xf>
    <xf numFmtId="0" fontId="0" fillId="0" borderId="0" xfId="79" applyFont="1">
      <alignment/>
      <protection/>
    </xf>
    <xf numFmtId="3" fontId="11" fillId="2" borderId="1" xfId="78" applyNumberFormat="1"/>
    <xf numFmtId="3" fontId="0" fillId="0" borderId="0" xfId="79" applyNumberFormat="1" applyFont="1">
      <alignment/>
      <protection/>
    </xf>
    <xf numFmtId="0" fontId="0" fillId="0" borderId="0" xfId="79" applyFont="1" applyAlignment="1">
      <alignment horizontal="right"/>
      <protection/>
    </xf>
    <xf numFmtId="0" fontId="0" fillId="0" borderId="0" xfId="79" applyFont="1" applyAlignment="1">
      <alignment horizontal="left"/>
      <protection/>
    </xf>
    <xf numFmtId="165" fontId="0" fillId="0" borderId="0" xfId="79" applyNumberFormat="1" applyFont="1">
      <alignment/>
      <protection/>
    </xf>
    <xf numFmtId="2" fontId="0" fillId="0" borderId="0" xfId="79" applyNumberFormat="1" applyFont="1">
      <alignment/>
      <protection/>
    </xf>
    <xf numFmtId="9" fontId="0" fillId="0" borderId="0" xfId="15" applyFont="1"/>
    <xf numFmtId="166" fontId="0" fillId="0" borderId="0" xfId="18" applyNumberFormat="1" applyFont="1"/>
    <xf numFmtId="166" fontId="0" fillId="0" borderId="0" xfId="0" applyNumberFormat="1"/>
    <xf numFmtId="43" fontId="0" fillId="0" borderId="0" xfId="0" applyNumberFormat="1"/>
    <xf numFmtId="166" fontId="11" fillId="2" borderId="1" xfId="78" applyNumberFormat="1"/>
    <xf numFmtId="0" fontId="0" fillId="0" borderId="0" xfId="0" applyFill="1" applyBorder="1" applyAlignment="1">
      <alignment horizontal="left" indent="1"/>
    </xf>
    <xf numFmtId="0" fontId="0" fillId="0" borderId="0" xfId="0" applyFill="1" applyBorder="1" applyAlignment="1">
      <alignment/>
    </xf>
    <xf numFmtId="44" fontId="0" fillId="0" borderId="0" xfId="16" applyFont="1"/>
    <xf numFmtId="17" fontId="0" fillId="0" borderId="0" xfId="0" applyNumberFormat="1"/>
    <xf numFmtId="9" fontId="0" fillId="0" borderId="0" xfId="0" applyNumberFormat="1"/>
    <xf numFmtId="165" fontId="0" fillId="0" borderId="0" xfId="0" applyNumberFormat="1"/>
    <xf numFmtId="0" fontId="9" fillId="0" borderId="0" xfId="68" applyFont="1" quotePrefix="1">
      <alignment/>
      <protection/>
    </xf>
    <xf numFmtId="0" fontId="10" fillId="0" borderId="0" xfId="0" applyFont="1"/>
    <xf numFmtId="167" fontId="9" fillId="0" borderId="0" xfId="68" applyNumberFormat="1" applyFont="1">
      <alignment/>
      <protection/>
    </xf>
    <xf numFmtId="9" fontId="9" fillId="0" borderId="0" xfId="68" applyNumberFormat="1" applyFont="1">
      <alignment/>
      <protection/>
    </xf>
    <xf numFmtId="9" fontId="9" fillId="0" borderId="0" xfId="15" applyFont="1"/>
    <xf numFmtId="168" fontId="9" fillId="0" borderId="0" xfId="68" applyNumberFormat="1" applyFont="1">
      <alignment/>
      <protection/>
    </xf>
    <xf numFmtId="1" fontId="0" fillId="0" borderId="0" xfId="0" applyNumberFormat="1"/>
    <xf numFmtId="3" fontId="9" fillId="0" borderId="0" xfId="68" applyNumberFormat="1" applyFont="1">
      <alignment/>
      <protection/>
    </xf>
    <xf numFmtId="2" fontId="9" fillId="0" borderId="0" xfId="68" applyNumberFormat="1" applyFont="1">
      <alignment/>
      <protection/>
    </xf>
    <xf numFmtId="1" fontId="9" fillId="0" borderId="0" xfId="68" applyNumberFormat="1" applyFont="1">
      <alignment/>
      <protection/>
    </xf>
    <xf numFmtId="169" fontId="9" fillId="0" borderId="0" xfId="68" applyNumberFormat="1" applyFont="1">
      <alignment/>
      <protection/>
    </xf>
    <xf numFmtId="0" fontId="9" fillId="0" borderId="0" xfId="68" applyNumberFormat="1" applyFont="1">
      <alignment/>
      <protection/>
    </xf>
    <xf numFmtId="164" fontId="9" fillId="0" borderId="0" xfId="68" applyNumberFormat="1" applyFont="1">
      <alignment/>
      <protection/>
    </xf>
    <xf numFmtId="0" fontId="0" fillId="0" borderId="0" xfId="0" applyFont="1"/>
    <xf numFmtId="0" fontId="0" fillId="0" borderId="2" xfId="0" applyFont="1" applyBorder="1"/>
    <xf numFmtId="0" fontId="3" fillId="0" borderId="0" xfId="24" applyFill="1" applyBorder="1"/>
    <xf numFmtId="0" fontId="0" fillId="0" borderId="0" xfId="0" applyAlignment="1">
      <alignment horizontal="center"/>
    </xf>
    <xf numFmtId="0" fontId="0" fillId="0" borderId="0" xfId="0" applyAlignment="1">
      <alignment horizontal="left" wrapText="1"/>
    </xf>
    <xf numFmtId="0" fontId="0" fillId="0" borderId="0" xfId="79" applyFont="1" applyAlignment="1">
      <alignment horizontal="center"/>
      <protection/>
    </xf>
  </cellXfs>
  <cellStyles count="277">
    <cellStyle name="Normal" xfId="0"/>
    <cellStyle name="Percent" xfId="15"/>
    <cellStyle name="Currency" xfId="16"/>
    <cellStyle name="Currency [0]" xfId="17"/>
    <cellStyle name="Comma" xfId="18"/>
    <cellStyle name="Comma [0]" xfId="19"/>
    <cellStyle name="Hyperlink" xfId="20"/>
    <cellStyle name="Followed Hyperlink" xfId="21"/>
    <cellStyle name="Hyperlink" xfId="22"/>
    <cellStyle name="Followed Hyperlink" xfId="23"/>
    <cellStyle name="Hyperlink"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Normal 2" xfId="68"/>
    <cellStyle name="Followed Hyperlink" xfId="69"/>
    <cellStyle name="Followed Hyperlink" xfId="70"/>
    <cellStyle name="Followed Hyperlink" xfId="71"/>
    <cellStyle name="Followed Hyperlink" xfId="72"/>
    <cellStyle name="Followed Hyperlink" xfId="73"/>
    <cellStyle name="Followed Hyperlink" xfId="74"/>
    <cellStyle name="Followed Hyperlink" xfId="75"/>
    <cellStyle name="Followed Hyperlink" xfId="76"/>
    <cellStyle name="Followed Hyperlink" xfId="77"/>
    <cellStyle name="Output" xfId="78"/>
    <cellStyle name="Normal 3" xfId="79"/>
    <cellStyle name="Followed Hyperlink" xfId="80"/>
    <cellStyle name="Followed Hyperlink" xfId="81"/>
    <cellStyle name="Followed Hyperlink" xfId="82"/>
    <cellStyle name="Followed Hyperlink" xfId="83"/>
    <cellStyle name="Followed Hyperlink" xfId="84"/>
    <cellStyle name="Followed Hyperlink" xfId="85"/>
    <cellStyle name="Followed Hyperlink" xfId="86"/>
    <cellStyle name="Followed Hyperlink" xfId="87"/>
    <cellStyle name="Followed Hyperlink" xfId="88"/>
    <cellStyle name="Followed Hyperlink" xfId="89"/>
    <cellStyle name="Followed Hyperlink" xfId="90"/>
    <cellStyle name="Followed Hyperlink" xfId="91"/>
    <cellStyle name="Followed Hyperlink" xfId="92"/>
    <cellStyle name="Followed Hyperlink" xfId="93"/>
    <cellStyle name="Followed Hyperlink" xfId="94"/>
    <cellStyle name="Followed Hyperlink" xfId="95"/>
    <cellStyle name="Followed Hyperlink" xfId="96"/>
    <cellStyle name="Followed Hyperlink" xfId="97"/>
    <cellStyle name="Followed Hyperlink" xfId="98"/>
    <cellStyle name="Followed Hyperlink" xfId="99"/>
    <cellStyle name="Followed Hyperlink" xfId="100"/>
    <cellStyle name="Followed Hyperlink" xfId="101"/>
    <cellStyle name="Followed Hyperlink" xfId="102"/>
    <cellStyle name="Followed Hyperlink" xfId="103"/>
    <cellStyle name="Followed Hyperlink" xfId="104"/>
    <cellStyle name="Followed Hyperlink" xfId="105"/>
    <cellStyle name="Followed Hyperlink" xfId="106"/>
    <cellStyle name="Followed Hyperlink" xfId="107"/>
    <cellStyle name="Followed Hyperlink" xfId="108"/>
    <cellStyle name="Followed Hyperlink" xfId="109"/>
    <cellStyle name="Followed Hyperlink" xfId="110"/>
    <cellStyle name="Followed Hyperlink" xfId="111"/>
    <cellStyle name="Followed Hyperlink" xfId="112"/>
    <cellStyle name="Followed Hyperlink" xfId="113"/>
    <cellStyle name="Followed Hyperlink" xfId="114"/>
    <cellStyle name="Followed Hyperlink" xfId="115"/>
    <cellStyle name="Followed Hyperlink" xfId="116"/>
    <cellStyle name="Followed Hyperlink" xfId="117"/>
    <cellStyle name="Followed Hyperlink" xfId="118"/>
    <cellStyle name="Followed Hyperlink" xfId="119"/>
    <cellStyle name="Followed Hyperlink" xfId="120"/>
    <cellStyle name="Followed Hyperlink" xfId="121"/>
    <cellStyle name="Followed Hyperlink" xfId="122"/>
    <cellStyle name="Followed Hyperlink" xfId="123"/>
    <cellStyle name="Followed Hyperlink" xfId="124"/>
    <cellStyle name="Followed Hyperlink" xfId="125"/>
    <cellStyle name="Followed Hyperlink" xfId="126"/>
    <cellStyle name="Followed Hyperlink" xfId="127"/>
    <cellStyle name="Followed Hyperlink" xfId="128"/>
    <cellStyle name="Followed Hyperlink" xfId="129"/>
    <cellStyle name="Followed Hyperlink" xfId="130"/>
    <cellStyle name="Followed Hyperlink" xfId="131"/>
    <cellStyle name="Followed Hyperlink" xfId="132"/>
    <cellStyle name="Followed Hyperlink" xfId="133"/>
    <cellStyle name="Followed Hyperlink" xfId="134"/>
    <cellStyle name="Followed Hyperlink" xfId="135"/>
    <cellStyle name="Followed Hyperlink" xfId="136"/>
    <cellStyle name="Followed Hyperlink" xfId="137"/>
    <cellStyle name="Followed Hyperlink" xfId="138"/>
    <cellStyle name="Followed Hyperlink" xfId="139"/>
    <cellStyle name="Followed Hyperlink" xfId="140"/>
    <cellStyle name="Followed Hyperlink" xfId="141"/>
    <cellStyle name="Followed Hyperlink" xfId="142"/>
    <cellStyle name="Followed Hyperlink" xfId="143"/>
    <cellStyle name="Followed Hyperlink" xfId="144"/>
    <cellStyle name="Followed Hyperlink" xfId="145"/>
    <cellStyle name="Followed Hyperlink" xfId="146"/>
    <cellStyle name="Followed Hyperlink" xfId="147"/>
    <cellStyle name="Followed Hyperlink" xfId="148"/>
    <cellStyle name="Followed Hyperlink" xfId="149"/>
    <cellStyle name="Followed Hyperlink" xfId="150"/>
    <cellStyle name="Followed Hyperlink" xfId="151"/>
    <cellStyle name="Followed Hyperlink" xfId="152"/>
    <cellStyle name="Followed Hyperlink" xfId="153"/>
    <cellStyle name="Followed Hyperlink" xfId="154"/>
    <cellStyle name="Followed Hyperlink" xfId="155"/>
    <cellStyle name="Followed Hyperlink" xfId="156"/>
    <cellStyle name="Followed Hyperlink" xfId="157"/>
    <cellStyle name="Followed Hyperlink" xfId="158"/>
    <cellStyle name="Followed Hyperlink" xfId="159"/>
    <cellStyle name="Followed Hyperlink" xfId="160"/>
    <cellStyle name="Followed Hyperlink" xfId="161"/>
    <cellStyle name="Followed Hyperlink" xfId="162"/>
    <cellStyle name="Followed Hyperlink" xfId="163"/>
    <cellStyle name="Followed Hyperlink" xfId="164"/>
    <cellStyle name="Followed Hyperlink" xfId="165"/>
    <cellStyle name="Followed Hyperlink" xfId="166"/>
    <cellStyle name="Followed Hyperlink" xfId="167"/>
    <cellStyle name="Followed Hyperlink" xfId="168"/>
    <cellStyle name="Followed Hyperlink" xfId="169"/>
    <cellStyle name="Followed Hyperlink" xfId="170"/>
    <cellStyle name="Followed Hyperlink" xfId="171"/>
    <cellStyle name="Followed Hyperlink" xfId="172"/>
    <cellStyle name="Followed Hyperlink" xfId="173"/>
    <cellStyle name="Followed Hyperlink" xfId="174"/>
    <cellStyle name="Followed Hyperlink" xfId="175"/>
    <cellStyle name="Followed Hyperlink" xfId="176"/>
    <cellStyle name="Followed Hyperlink" xfId="177"/>
    <cellStyle name="Followed Hyperlink" xfId="178"/>
    <cellStyle name="Followed Hyperlink" xfId="179"/>
    <cellStyle name="Followed Hyperlink" xfId="180"/>
    <cellStyle name="Followed Hyperlink" xfId="181"/>
    <cellStyle name="Followed Hyperlink" xfId="182"/>
    <cellStyle name="Followed Hyperlink" xfId="183"/>
    <cellStyle name="Followed Hyperlink" xfId="184"/>
    <cellStyle name="Followed Hyperlink" xfId="185"/>
    <cellStyle name="Followed Hyperlink" xfId="186"/>
    <cellStyle name="Followed Hyperlink" xfId="187"/>
    <cellStyle name="Followed Hyperlink" xfId="188"/>
    <cellStyle name="Followed Hyperlink" xfId="189"/>
    <cellStyle name="Followed Hyperlink" xfId="190"/>
    <cellStyle name="Followed Hyperlink" xfId="191"/>
    <cellStyle name="Followed Hyperlink" xfId="192"/>
    <cellStyle name="Followed Hyperlink" xfId="193"/>
    <cellStyle name="Followed Hyperlink" xfId="194"/>
    <cellStyle name="Followed Hyperlink" xfId="195"/>
    <cellStyle name="Followed Hyperlink" xfId="196"/>
    <cellStyle name="Followed Hyperlink" xfId="197"/>
    <cellStyle name="Followed Hyperlink" xfId="198"/>
    <cellStyle name="Followed Hyperlink" xfId="199"/>
    <cellStyle name="Followed Hyperlink" xfId="200"/>
    <cellStyle name="Followed Hyperlink" xfId="201"/>
    <cellStyle name="Followed Hyperlink" xfId="202"/>
    <cellStyle name="Followed Hyperlink" xfId="203"/>
    <cellStyle name="Followed Hyperlink" xfId="204"/>
    <cellStyle name="Followed Hyperlink" xfId="205"/>
    <cellStyle name="Followed Hyperlink" xfId="206"/>
    <cellStyle name="Followed Hyperlink" xfId="207"/>
    <cellStyle name="Followed Hyperlink" xfId="208"/>
    <cellStyle name="Followed Hyperlink" xfId="209"/>
    <cellStyle name="Followed Hyperlink" xfId="210"/>
    <cellStyle name="Followed Hyperlink" xfId="211"/>
    <cellStyle name="Followed Hyperlink" xfId="212"/>
    <cellStyle name="Followed Hyperlink" xfId="213"/>
    <cellStyle name="Followed Hyperlink" xfId="214"/>
    <cellStyle name="Followed Hyperlink" xfId="215"/>
    <cellStyle name="Followed Hyperlink" xfId="216"/>
    <cellStyle name="Followed Hyperlink" xfId="217"/>
    <cellStyle name="Followed Hyperlink" xfId="218"/>
    <cellStyle name="Followed Hyperlink" xfId="219"/>
    <cellStyle name="Followed Hyperlink" xfId="220"/>
    <cellStyle name="Followed Hyperlink" xfId="221"/>
    <cellStyle name="Followed Hyperlink" xfId="222"/>
    <cellStyle name="Followed Hyperlink" xfId="223"/>
    <cellStyle name="Followed Hyperlink" xfId="224"/>
    <cellStyle name="Followed Hyperlink" xfId="225"/>
    <cellStyle name="Followed Hyperlink" xfId="226"/>
    <cellStyle name="Followed Hyperlink" xfId="227"/>
    <cellStyle name="Followed Hyperlink" xfId="228"/>
    <cellStyle name="Followed Hyperlink" xfId="229"/>
    <cellStyle name="Followed Hyperlink" xfId="230"/>
    <cellStyle name="Followed Hyperlink" xfId="231"/>
    <cellStyle name="Followed Hyperlink" xfId="232"/>
    <cellStyle name="Followed Hyperlink" xfId="233"/>
    <cellStyle name="Followed Hyperlink" xfId="234"/>
    <cellStyle name="Followed Hyperlink" xfId="235"/>
    <cellStyle name="Followed Hyperlink" xfId="236"/>
    <cellStyle name="Followed Hyperlink" xfId="237"/>
    <cellStyle name="Followed Hyperlink" xfId="238"/>
    <cellStyle name="Followed Hyperlink" xfId="239"/>
    <cellStyle name="Followed Hyperlink" xfId="240"/>
    <cellStyle name="Followed Hyperlink" xfId="241"/>
    <cellStyle name="Followed Hyperlink" xfId="242"/>
    <cellStyle name="Followed Hyperlink" xfId="243"/>
    <cellStyle name="Followed Hyperlink" xfId="244"/>
    <cellStyle name="Followed Hyperlink" xfId="245"/>
    <cellStyle name="Followed Hyperlink" xfId="246"/>
    <cellStyle name="Followed Hyperlink" xfId="247"/>
    <cellStyle name="Followed Hyperlink" xfId="248"/>
    <cellStyle name="Followed Hyperlink" xfId="249"/>
    <cellStyle name="Followed Hyperlink" xfId="250"/>
    <cellStyle name="Followed Hyperlink" xfId="251"/>
    <cellStyle name="Followed Hyperlink" xfId="252"/>
    <cellStyle name="Followed Hyperlink" xfId="253"/>
    <cellStyle name="Followed Hyperlink" xfId="254"/>
    <cellStyle name="Followed Hyperlink" xfId="255"/>
    <cellStyle name="Followed Hyperlink" xfId="256"/>
    <cellStyle name="Followed Hyperlink" xfId="257"/>
    <cellStyle name="Followed Hyperlink" xfId="258"/>
    <cellStyle name="Followed Hyperlink" xfId="259"/>
    <cellStyle name="Followed Hyperlink" xfId="260"/>
    <cellStyle name="Followed Hyperlink" xfId="261"/>
    <cellStyle name="Followed Hyperlink" xfId="262"/>
    <cellStyle name="Followed Hyperlink" xfId="263"/>
    <cellStyle name="Followed Hyperlink" xfId="264"/>
    <cellStyle name="Followed Hyperlink" xfId="265"/>
    <cellStyle name="Followed Hyperlink" xfId="266"/>
    <cellStyle name="Followed Hyperlink" xfId="267"/>
    <cellStyle name="Followed Hyperlink" xfId="268"/>
    <cellStyle name="Followed Hyperlink" xfId="269"/>
    <cellStyle name="Followed Hyperlink" xfId="270"/>
    <cellStyle name="Followed Hyperlink" xfId="271"/>
    <cellStyle name="Followed Hyperlink" xfId="272"/>
    <cellStyle name="Followed Hyperlink" xfId="273"/>
    <cellStyle name="Followed Hyperlink" xfId="274"/>
    <cellStyle name="Followed Hyperlink" xfId="275"/>
    <cellStyle name="Followed Hyperlink" xfId="276"/>
    <cellStyle name="Followed Hyperlink" xfId="277"/>
    <cellStyle name="Followed Hyperlink" xfId="278"/>
    <cellStyle name="Followed Hyperlink" xfId="279"/>
    <cellStyle name="Followed Hyperlink" xfId="280"/>
    <cellStyle name="Followed Hyperlink" xfId="281"/>
    <cellStyle name="Followed Hyperlink" xfId="282"/>
    <cellStyle name="Followed Hyperlink" xfId="283"/>
    <cellStyle name="Followed Hyperlink" xfId="284"/>
    <cellStyle name="Followed Hyperlink" xfId="285"/>
    <cellStyle name="Followed Hyperlink" xfId="286"/>
    <cellStyle name="Followed Hyperlink" xfId="287"/>
    <cellStyle name="Followed Hyperlink" xfId="288"/>
    <cellStyle name="Followed Hyperlink" xfId="289"/>
    <cellStyle name="Followed Hyperlink" xfId="29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CBMro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BMThemeTR">
      <a:majorFont>
        <a:latin typeface="Cambria"/>
        <a:ea typeface=""/>
        <a:cs typeface=""/>
      </a:majorFont>
      <a:minorFont>
        <a:latin typeface="Times New Roman"/>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bls.gov/news.release/empsit.a.htm" TargetMode="External" /><Relationship Id="rId2" Type="http://schemas.openxmlformats.org/officeDocument/2006/relationships/hyperlink" Target="https://www.bls.gov/news.release/empsit.a.htm" TargetMode="External" /><Relationship Id="rId3" Type="http://schemas.openxmlformats.org/officeDocument/2006/relationships/hyperlink" Target="https://www.bls.gov/news.release/empsit.a.ht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nces.ed.gov/surveys/sass/tables/sass0708_035_s1s.asp" TargetMode="External" /><Relationship Id="rId2" Type="http://schemas.openxmlformats.org/officeDocument/2006/relationships/hyperlink" Target="https://nces.ed.gov/surveys/sass/tables/sass0708_035_s1s.asp"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alexbick.weebly.com/uploads/1/0/1/3/101306056/bb_covid.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www.govexec.com/pay-benefits/2019/09/agencies-paid-federal-employees-37-billion-not-work-during-recent-shutdowns/159936/" TargetMode="External" /><Relationship Id="rId2" Type="http://schemas.openxmlformats.org/officeDocument/2006/relationships/hyperlink" Target="https://www.bls.gov/news.release/empsit.a.ht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abSelected="1" workbookViewId="0" topLeftCell="A1"/>
  </sheetViews>
  <sheetFormatPr defaultColWidth="11.00390625" defaultRowHeight="15.75"/>
  <cols>
    <col min="1" max="1" width="57.125" style="0" bestFit="1" customWidth="1"/>
  </cols>
  <sheetData>
    <row r="1" spans="1:4" ht="15.75">
      <c r="A1" s="1" t="s">
        <v>775</v>
      </c>
      <c r="B1" s="61"/>
      <c r="C1" s="61"/>
      <c r="D1" s="61"/>
    </row>
    <row r="2" spans="1:4" ht="15.75">
      <c r="A2" s="61" t="s">
        <v>776</v>
      </c>
      <c r="B2" s="61"/>
      <c r="C2" s="61"/>
      <c r="D2" s="61"/>
    </row>
    <row r="3" spans="1:4" ht="15.75">
      <c r="A3" s="61"/>
      <c r="B3" s="61"/>
      <c r="C3" s="61"/>
      <c r="D3" s="61"/>
    </row>
    <row r="4" spans="1:4" ht="15.75">
      <c r="A4" s="62" t="s">
        <v>777</v>
      </c>
      <c r="B4" s="61"/>
      <c r="C4" s="61"/>
      <c r="D4" s="61"/>
    </row>
    <row r="5" spans="1:4" ht="15.75">
      <c r="A5" s="63" t="s">
        <v>22</v>
      </c>
      <c r="B5" s="61"/>
      <c r="C5" s="61"/>
      <c r="D5" s="61"/>
    </row>
    <row r="6" spans="1:4" ht="15.75">
      <c r="A6" s="5" t="s">
        <v>253</v>
      </c>
      <c r="B6" s="61"/>
      <c r="C6" s="61"/>
      <c r="D6" s="61"/>
    </row>
    <row r="7" spans="1:4" ht="15.75">
      <c r="A7" s="5" t="s">
        <v>238</v>
      </c>
      <c r="B7" s="61"/>
      <c r="C7" s="61"/>
      <c r="D7" s="61"/>
    </row>
    <row r="8" spans="1:4" ht="15.75">
      <c r="A8" s="5" t="s">
        <v>274</v>
      </c>
      <c r="B8" s="61"/>
      <c r="C8" s="61"/>
      <c r="D8" s="61"/>
    </row>
    <row r="9" spans="1:4" ht="15.75">
      <c r="A9" s="5" t="s">
        <v>767</v>
      </c>
      <c r="B9" s="61"/>
      <c r="C9" s="61"/>
      <c r="D9" s="61"/>
    </row>
    <row r="10" spans="1:4" ht="15.75">
      <c r="A10" s="5" t="s">
        <v>778</v>
      </c>
      <c r="B10" s="61"/>
      <c r="C10" s="61"/>
      <c r="D10" s="61"/>
    </row>
    <row r="11" spans="1:4" ht="15.75">
      <c r="A11" s="61"/>
      <c r="B11" s="61"/>
      <c r="C11" s="61"/>
      <c r="D11" s="61"/>
    </row>
    <row r="12" spans="1:4" ht="15.75">
      <c r="A12" s="61"/>
      <c r="B12" s="61"/>
      <c r="C12" s="61"/>
      <c r="D12" s="61"/>
    </row>
    <row r="13" spans="1:4" ht="15.75">
      <c r="A13" s="61"/>
      <c r="B13" s="61"/>
      <c r="C13" s="61"/>
      <c r="D13" s="61"/>
    </row>
    <row r="14" spans="1:4" ht="15.75">
      <c r="A14" s="61"/>
      <c r="B14" s="61"/>
      <c r="C14" s="61"/>
      <c r="D14" s="61"/>
    </row>
    <row r="15" spans="1:4" ht="15.75">
      <c r="A15" s="61"/>
      <c r="B15" s="61"/>
      <c r="C15" s="61"/>
      <c r="D15" s="61"/>
    </row>
    <row r="16" spans="1:4" ht="15.75">
      <c r="A16" s="61"/>
      <c r="B16" s="61"/>
      <c r="C16" s="61"/>
      <c r="D16" s="61"/>
    </row>
    <row r="17" spans="1:4" ht="15.75">
      <c r="A17" s="61"/>
      <c r="B17" s="61"/>
      <c r="C17" s="61"/>
      <c r="D17" s="61"/>
    </row>
    <row r="18" spans="1:4" ht="15.75">
      <c r="A18" s="61"/>
      <c r="B18" s="61"/>
      <c r="C18" s="61"/>
      <c r="D18" s="61"/>
    </row>
    <row r="19" spans="1:4" ht="15.75">
      <c r="A19" s="61"/>
      <c r="B19" s="61"/>
      <c r="C19" s="61"/>
      <c r="D19" s="61"/>
    </row>
    <row r="20" spans="1:4" ht="15.75">
      <c r="A20" s="61"/>
      <c r="B20" s="61"/>
      <c r="C20" s="61"/>
      <c r="D20" s="61"/>
    </row>
    <row r="21" spans="1:4" ht="15.75">
      <c r="A21" s="61"/>
      <c r="B21" s="61"/>
      <c r="C21" s="61"/>
      <c r="D21" s="61"/>
    </row>
    <row r="22" spans="1:4" ht="15.75">
      <c r="A22" s="61"/>
      <c r="B22" s="61"/>
      <c r="C22" s="61"/>
      <c r="D22" s="61"/>
    </row>
    <row r="23" spans="1:4" ht="15.75">
      <c r="A23" s="61"/>
      <c r="B23" s="61"/>
      <c r="C23" s="61"/>
      <c r="D23" s="61"/>
    </row>
    <row r="24" spans="1:4" ht="15.75">
      <c r="A24" s="61"/>
      <c r="B24" s="61"/>
      <c r="C24" s="61"/>
      <c r="D24" s="61"/>
    </row>
    <row r="25" spans="1:4" ht="15.75">
      <c r="A25" s="61"/>
      <c r="B25" s="61"/>
      <c r="C25" s="61"/>
      <c r="D25" s="61"/>
    </row>
    <row r="26" spans="1:4" ht="15.75">
      <c r="A26" s="61"/>
      <c r="B26" s="61"/>
      <c r="C26" s="61"/>
      <c r="D26" s="61"/>
    </row>
    <row r="27" spans="1:4" ht="15.75">
      <c r="A27" s="61"/>
      <c r="B27" s="61"/>
      <c r="C27" s="61"/>
      <c r="D27" s="61"/>
    </row>
    <row r="28" spans="1:4" ht="15.75">
      <c r="A28" s="61"/>
      <c r="B28" s="61"/>
      <c r="C28" s="61"/>
      <c r="D28" s="61"/>
    </row>
    <row r="29" spans="1:4" ht="15.75">
      <c r="A29" s="61"/>
      <c r="B29" s="61"/>
      <c r="C29" s="61"/>
      <c r="D29" s="61"/>
    </row>
    <row r="30" spans="1:4" ht="15.75">
      <c r="A30" s="61"/>
      <c r="B30" s="61"/>
      <c r="C30" s="61"/>
      <c r="D30" s="61"/>
    </row>
    <row r="31" spans="1:4" ht="15.75">
      <c r="A31" s="61"/>
      <c r="B31" s="61"/>
      <c r="C31" s="61"/>
      <c r="D31" s="61"/>
    </row>
    <row r="32" spans="1:4" ht="15.75">
      <c r="A32" s="61"/>
      <c r="B32" s="61"/>
      <c r="C32" s="61"/>
      <c r="D32" s="61"/>
    </row>
    <row r="33" spans="1:4" ht="15.75">
      <c r="A33" s="61"/>
      <c r="B33" s="61"/>
      <c r="C33" s="61"/>
      <c r="D33" s="61"/>
    </row>
    <row r="34" spans="1:4" ht="15.75">
      <c r="A34" s="61"/>
      <c r="B34" s="61"/>
      <c r="C34" s="61"/>
      <c r="D34" s="61"/>
    </row>
    <row r="35" spans="1:4" ht="15.75">
      <c r="A35" s="61"/>
      <c r="B35" s="61"/>
      <c r="C35" s="61"/>
      <c r="D35" s="61"/>
    </row>
    <row r="36" spans="1:4" ht="15.75">
      <c r="A36" s="61"/>
      <c r="B36" s="61"/>
      <c r="C36" s="61"/>
      <c r="D36" s="61"/>
    </row>
    <row r="37" spans="1:4" ht="15.75">
      <c r="A37" s="61"/>
      <c r="B37" s="61"/>
      <c r="C37" s="61"/>
      <c r="D37" s="61"/>
    </row>
    <row r="38" spans="1:4" ht="15.75">
      <c r="A38" s="61"/>
      <c r="B38" s="61"/>
      <c r="C38" s="61"/>
      <c r="D38" s="61"/>
    </row>
    <row r="39" spans="1:4" ht="15.75">
      <c r="A39" s="61"/>
      <c r="B39" s="61"/>
      <c r="C39" s="61"/>
      <c r="D39" s="61"/>
    </row>
    <row r="40" spans="1:4" ht="15.75">
      <c r="A40" s="61"/>
      <c r="B40" s="61"/>
      <c r="C40" s="61"/>
      <c r="D40" s="61"/>
    </row>
    <row r="41" spans="1:4" ht="15.75">
      <c r="A41" s="61"/>
      <c r="B41" s="61"/>
      <c r="C41" s="61"/>
      <c r="D41" s="61"/>
    </row>
    <row r="42" spans="1:4" ht="15.75">
      <c r="A42" s="61"/>
      <c r="B42" s="61"/>
      <c r="C42" s="61"/>
      <c r="D42" s="61"/>
    </row>
    <row r="43" spans="1:4" ht="15.75">
      <c r="A43" s="61"/>
      <c r="B43" s="61"/>
      <c r="C43" s="61"/>
      <c r="D43" s="61"/>
    </row>
    <row r="44" spans="1:4" ht="15.75">
      <c r="A44" s="61"/>
      <c r="B44" s="61"/>
      <c r="C44" s="61"/>
      <c r="D44" s="61"/>
    </row>
    <row r="45" spans="1:4" ht="15.75">
      <c r="A45" s="61"/>
      <c r="B45" s="61"/>
      <c r="C45" s="61"/>
      <c r="D45" s="61"/>
    </row>
    <row r="46" spans="1:4" ht="15.75">
      <c r="A46" s="61"/>
      <c r="B46" s="61"/>
      <c r="C46" s="61"/>
      <c r="D46" s="61"/>
    </row>
  </sheetData>
  <hyperlinks>
    <hyperlink ref="A5" location="Table1!A1" display="Table 1.  Welfare Effects of Shutting Down &quot;Non-essential&quot; Activities"/>
    <hyperlink ref="A6" location="Schooling!A1" display="The Value of Schooling"/>
    <hyperlink ref="A7" location="OJT!A1" display="The Value of OJT"/>
    <hyperlink ref="A8" location="fromhome!A1" display="Working from home"/>
    <hyperlink ref="A9" location="QuantitativeProse!A1" display="Quantitative Prose in &quot;Economic Activity and the Value of Medical Innovation during a Pandemic&quot;"/>
    <hyperlink ref="A10" location="WorkingDays!A1" display="Number of workdays by year"/>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topLeftCell="A1"/>
  </sheetViews>
  <sheetFormatPr defaultColWidth="11.00390625" defaultRowHeight="15.75"/>
  <cols>
    <col min="1" max="1" width="26.375" style="0" customWidth="1"/>
    <col min="2" max="2" width="1.12109375" style="0" customWidth="1"/>
    <col min="3" max="3" width="19.125" style="0" customWidth="1"/>
    <col min="4" max="4" width="1.12109375" style="0" customWidth="1"/>
    <col min="5" max="5" width="13.125" style="0" customWidth="1"/>
    <col min="6" max="6" width="12.00390625" style="0" customWidth="1"/>
  </cols>
  <sheetData>
    <row r="1" spans="1:4" ht="15.75">
      <c r="A1" s="1" t="s">
        <v>22</v>
      </c>
      <c r="B1" s="1"/>
      <c r="C1" s="1"/>
      <c r="D1" s="1"/>
    </row>
    <row r="2" spans="1:4" ht="15.75">
      <c r="A2" s="7" t="s">
        <v>307</v>
      </c>
      <c r="B2" s="7"/>
      <c r="C2" s="1"/>
      <c r="D2" s="1"/>
    </row>
    <row r="3" spans="1:4" ht="15.75">
      <c r="A3" s="1"/>
      <c r="B3" s="1"/>
      <c r="C3" s="1"/>
      <c r="D3" s="1"/>
    </row>
    <row r="4" spans="3:7" ht="15" customHeight="1">
      <c r="C4" s="14" t="s">
        <v>25</v>
      </c>
      <c r="D4" s="14"/>
      <c r="E4" s="64" t="s">
        <v>9</v>
      </c>
      <c r="F4" s="64"/>
      <c r="G4" s="64"/>
    </row>
    <row r="5" spans="1:9" ht="15.75">
      <c r="A5" s="3" t="s">
        <v>0</v>
      </c>
      <c r="B5" s="1"/>
      <c r="C5" s="15" t="s">
        <v>24</v>
      </c>
      <c r="D5" s="1"/>
      <c r="E5" s="4" t="s">
        <v>26</v>
      </c>
      <c r="F5" s="4" t="s">
        <v>1</v>
      </c>
      <c r="G5" s="4" t="s">
        <v>2</v>
      </c>
      <c r="I5" s="17" t="s">
        <v>10</v>
      </c>
    </row>
    <row r="6" spans="1:9" ht="15.75">
      <c r="A6" t="s">
        <v>3</v>
      </c>
      <c r="B6" s="6"/>
      <c r="C6" s="6">
        <f>-C8</f>
        <v>-47.6277</v>
      </c>
      <c r="D6" s="6"/>
      <c r="E6" s="8">
        <f>G6/251</f>
        <v>-23.578289703740463</v>
      </c>
      <c r="F6" s="6">
        <f>G6/4</f>
        <v>-1479.537678909714</v>
      </c>
      <c r="G6" s="6">
        <f>G20*AVERAGE(-0.25,fromhome!$F$21)</f>
        <v>-5918.150715638856</v>
      </c>
      <c r="I6" s="5" t="s">
        <v>11</v>
      </c>
    </row>
    <row r="7" spans="1:9" ht="15.75">
      <c r="A7" t="s">
        <v>271</v>
      </c>
      <c r="B7" s="6"/>
      <c r="C7" s="6">
        <v>158.759</v>
      </c>
      <c r="D7" s="6"/>
      <c r="E7" s="8">
        <f>G7/251</f>
        <v>-7.772908366533865</v>
      </c>
      <c r="F7" s="6">
        <f>G7/4</f>
        <v>-487.75</v>
      </c>
      <c r="G7" s="6">
        <f>-(1759+192)*2*0.5</f>
        <v>-1951</v>
      </c>
      <c r="I7" t="s">
        <v>273</v>
      </c>
    </row>
    <row r="8" spans="1:9" ht="15.75">
      <c r="A8" t="s">
        <v>7</v>
      </c>
      <c r="B8" s="6"/>
      <c r="C8" s="6">
        <f>0.3*158.759</f>
        <v>47.6277</v>
      </c>
      <c r="D8" s="6"/>
      <c r="E8" s="8">
        <f>G8/251</f>
        <v>7.07348691112214</v>
      </c>
      <c r="F8" s="6">
        <f>G8/4</f>
        <v>443.8613036729143</v>
      </c>
      <c r="G8" s="6">
        <f>-G6*(1-0.7)</f>
        <v>1775.4452146916572</v>
      </c>
      <c r="I8" t="s">
        <v>17</v>
      </c>
    </row>
    <row r="9" spans="1:7" ht="15.75">
      <c r="A9" t="s">
        <v>6</v>
      </c>
      <c r="B9" s="6"/>
      <c r="C9" s="6"/>
      <c r="D9" s="6"/>
      <c r="E9" s="6"/>
      <c r="F9" s="6"/>
      <c r="G9" s="6"/>
    </row>
    <row r="10" spans="1:7" ht="15.75">
      <c r="A10" s="2" t="s">
        <v>27</v>
      </c>
      <c r="B10" s="6"/>
      <c r="C10" s="18" t="s">
        <v>28</v>
      </c>
      <c r="D10" s="6"/>
      <c r="E10" s="8">
        <f>-0.25*(1-0.48)*SUM(E6,E8)</f>
        <v>2.145624363040382</v>
      </c>
      <c r="F10" s="6">
        <f>-0.25*(1-0.48)*SUM(F6,F8)</f>
        <v>134.63792878078397</v>
      </c>
      <c r="G10" s="6">
        <f>-0.25*(1-0.48)*SUM(G6,G8)</f>
        <v>538.5517151231359</v>
      </c>
    </row>
    <row r="11" spans="1:9" ht="15.75">
      <c r="A11" s="2" t="s">
        <v>4</v>
      </c>
      <c r="B11" s="6"/>
      <c r="C11" s="6">
        <f>76.84-(46.33/12)</f>
        <v>72.97916666666667</v>
      </c>
      <c r="D11" s="6"/>
      <c r="E11" s="8">
        <f>G11/251</f>
        <v>-1.1435155854670658</v>
      </c>
      <c r="F11" s="6">
        <f>G11/4</f>
        <v>-71.75560298805837</v>
      </c>
      <c r="G11" s="6">
        <f>-C11*0.001*Schooling!$B$27</f>
        <v>-287.0224119522335</v>
      </c>
      <c r="I11" t="s">
        <v>14</v>
      </c>
    </row>
    <row r="12" spans="1:9" ht="15.75">
      <c r="A12" s="2" t="s">
        <v>251</v>
      </c>
      <c r="B12" s="6"/>
      <c r="C12" s="18">
        <f>C15</f>
        <v>111.13129999999998</v>
      </c>
      <c r="D12" s="6"/>
      <c r="E12" s="8">
        <f>G12/251</f>
        <v>-0.42610422379285295</v>
      </c>
      <c r="F12" s="6">
        <f>G12/4</f>
        <v>-26.738040043001522</v>
      </c>
      <c r="G12" s="6">
        <f>-0.3*OJT!$F$7*0.7</f>
        <v>-106.95216017200609</v>
      </c>
      <c r="I12" t="s">
        <v>17</v>
      </c>
    </row>
    <row r="13" spans="1:7" ht="15.75">
      <c r="A13" s="2" t="s">
        <v>19</v>
      </c>
      <c r="B13" s="6"/>
      <c r="C13" s="6">
        <v>95.082</v>
      </c>
      <c r="D13" s="6"/>
      <c r="E13" s="8">
        <f>G13/251</f>
        <v>-2.4930495352206314</v>
      </c>
      <c r="F13" s="6">
        <f>G13/4</f>
        <v>-156.43885833509464</v>
      </c>
      <c r="G13" s="6">
        <f>-C13*0.001*2000*Schooling!$B$28</f>
        <v>-625.7554333403785</v>
      </c>
    </row>
    <row r="14" spans="1:9" ht="15.75">
      <c r="A14" s="2" t="s">
        <v>8</v>
      </c>
      <c r="B14" s="6"/>
      <c r="C14" s="6">
        <f>C8</f>
        <v>47.6277</v>
      </c>
      <c r="D14" s="6"/>
      <c r="E14" s="8">
        <f>G14/251</f>
        <v>-1.2487980411500355</v>
      </c>
      <c r="F14" s="6">
        <f>G14/4</f>
        <v>-78.36207708216473</v>
      </c>
      <c r="G14" s="6">
        <f>-C14*0.001*2000*Schooling!$B$28</f>
        <v>-313.4483083286589</v>
      </c>
      <c r="I14" s="5" t="s">
        <v>11</v>
      </c>
    </row>
    <row r="15" spans="1:7" ht="15.75">
      <c r="A15" s="10" t="s">
        <v>5</v>
      </c>
      <c r="B15" s="1"/>
      <c r="C15" s="11">
        <f>C7+C6</f>
        <v>111.13129999999998</v>
      </c>
      <c r="D15" s="1"/>
      <c r="E15" s="12">
        <f>G15/251</f>
        <v>-0.7284655240041874</v>
      </c>
      <c r="F15" s="11">
        <f>G15/4</f>
        <v>-45.711211631262756</v>
      </c>
      <c r="G15" s="11">
        <f>-C15*0.001*500*Schooling!$B$28</f>
        <v>-182.84484652505103</v>
      </c>
    </row>
    <row r="16" spans="1:9" ht="15.75">
      <c r="A16" s="9" t="s">
        <v>15</v>
      </c>
      <c r="B16" s="9"/>
      <c r="C16" s="6"/>
      <c r="D16" s="6"/>
      <c r="E16" s="8">
        <f>SUM(E6:E15)</f>
        <v>-28.172019705746575</v>
      </c>
      <c r="F16" s="6">
        <f>SUM(F6:F15)</f>
        <v>-1767.7942365355977</v>
      </c>
      <c r="G16" s="6">
        <f>SUM(G6:G15)</f>
        <v>-7071.176946142391</v>
      </c>
      <c r="I16" s="5"/>
    </row>
    <row r="17" spans="1:9" ht="15.75">
      <c r="A17" s="9" t="s">
        <v>16</v>
      </c>
      <c r="B17" s="9"/>
      <c r="C17" s="6"/>
      <c r="D17" s="6"/>
      <c r="E17" s="8">
        <f>E16/0.121458</f>
        <v>-231.94865472629695</v>
      </c>
      <c r="F17" s="6">
        <f>F16/0.121458</f>
        <v>-14554.778084075135</v>
      </c>
      <c r="G17" s="6">
        <f>G16/0.121458</f>
        <v>-58219.11233630054</v>
      </c>
      <c r="I17" t="s">
        <v>20</v>
      </c>
    </row>
    <row r="18" spans="3:7" ht="15.75">
      <c r="C18" s="6"/>
      <c r="D18" s="6"/>
      <c r="E18" s="6"/>
      <c r="F18" s="6"/>
      <c r="G18" s="6"/>
    </row>
    <row r="19" spans="1:7" ht="15.75">
      <c r="A19" t="s">
        <v>21</v>
      </c>
      <c r="C19" s="6"/>
      <c r="D19" s="6"/>
      <c r="E19" s="6"/>
      <c r="F19" s="6"/>
      <c r="G19" s="6"/>
    </row>
    <row r="20" spans="1:7" ht="15.75">
      <c r="A20" s="13" t="s">
        <v>18</v>
      </c>
      <c r="B20" s="13"/>
      <c r="C20" s="6"/>
      <c r="D20" s="6"/>
      <c r="E20" s="8">
        <f>G20/251</f>
        <v>88.30517928286854</v>
      </c>
      <c r="F20" s="6">
        <f>G20/4</f>
        <v>5541.150000000001</v>
      </c>
      <c r="G20" s="6">
        <f>21730*1.02</f>
        <v>22164.600000000002</v>
      </c>
    </row>
    <row r="22" spans="1:6" ht="15.75">
      <c r="A22" s="16" t="s">
        <v>12</v>
      </c>
      <c r="B22" s="16"/>
      <c r="F22" s="6"/>
    </row>
    <row r="23" spans="1:7" ht="30" customHeight="1">
      <c r="A23" s="65" t="s">
        <v>252</v>
      </c>
      <c r="B23" s="65"/>
      <c r="C23" s="65"/>
      <c r="D23" s="65"/>
      <c r="E23" s="65"/>
      <c r="F23" s="65"/>
      <c r="G23" s="65"/>
    </row>
    <row r="24" spans="1:7" ht="15.75">
      <c r="A24" s="65" t="str">
        <f>"The impact on market production is taken as "&amp;TEXT(AVERAGE(-0.25,fromhome!$F$21),"0.0%")&amp;", which is the average of input and output methods."</f>
        <v>The impact on market production is taken as -26.7%, which is the average of input and output methods.</v>
      </c>
      <c r="B24" s="65"/>
      <c r="C24" s="65"/>
      <c r="D24" s="65"/>
      <c r="E24" s="65"/>
      <c r="F24" s="65"/>
      <c r="G24" s="65"/>
    </row>
    <row r="25" spans="1:7" ht="15.75">
      <c r="A25" s="65" t="s">
        <v>13</v>
      </c>
      <c r="B25" s="65"/>
      <c r="C25" s="65"/>
      <c r="D25" s="65"/>
      <c r="E25" s="65"/>
      <c r="F25" s="65"/>
      <c r="G25" s="65"/>
    </row>
    <row r="26" spans="1:7" ht="15" customHeight="1">
      <c r="A26" s="65" t="s">
        <v>272</v>
      </c>
      <c r="B26" s="65"/>
      <c r="C26" s="65"/>
      <c r="D26" s="65"/>
      <c r="E26" s="65"/>
      <c r="F26" s="65"/>
      <c r="G26" s="65"/>
    </row>
    <row r="27" spans="1:7" ht="15.75">
      <c r="A27" s="65" t="s">
        <v>23</v>
      </c>
      <c r="B27" s="65"/>
      <c r="C27" s="65"/>
      <c r="D27" s="65"/>
      <c r="E27" s="65"/>
      <c r="F27" s="65"/>
      <c r="G27" s="65"/>
    </row>
    <row r="28" spans="1:7" ht="30" customHeight="1">
      <c r="A28" s="65" t="s">
        <v>308</v>
      </c>
      <c r="B28" s="65"/>
      <c r="C28" s="65"/>
      <c r="D28" s="65"/>
      <c r="E28" s="65"/>
      <c r="F28" s="65"/>
      <c r="G28" s="65"/>
    </row>
    <row r="29" spans="1:7" ht="15.75">
      <c r="A29" s="65"/>
      <c r="B29" s="65"/>
      <c r="C29" s="65"/>
      <c r="D29" s="65"/>
      <c r="E29" s="65"/>
      <c r="F29" s="65"/>
      <c r="G29" s="65"/>
    </row>
  </sheetData>
  <mergeCells count="7">
    <mergeCell ref="E4:G4"/>
    <mergeCell ref="A23:G23"/>
    <mergeCell ref="A24:G24"/>
    <mergeCell ref="A27:G27"/>
    <mergeCell ref="A28:G29"/>
    <mergeCell ref="A26:G26"/>
    <mergeCell ref="A25:G25"/>
  </mergeCells>
  <hyperlinks>
    <hyperlink ref="I6" r:id="rId1" display="https://www.bls.gov/news.release/empsit.a.htm"/>
    <hyperlink ref="I14" r:id="rId2" display="https://www.bls.gov/news.release/empsit.a.htm"/>
    <hyperlink ref="I7" r:id="rId3" display="https://www.bls.gov/news.release/empsit.a.htm"/>
  </hyperlink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11.00390625" defaultRowHeight="15.75"/>
  <cols>
    <col min="1" max="1" width="34.00390625" style="0" bestFit="1" customWidth="1"/>
    <col min="3" max="3" width="20.125" style="0" bestFit="1" customWidth="1"/>
  </cols>
  <sheetData>
    <row r="1" ht="15.75">
      <c r="A1" s="1" t="s">
        <v>253</v>
      </c>
    </row>
    <row r="3" ht="15.75">
      <c r="A3" s="16" t="s">
        <v>257</v>
      </c>
    </row>
    <row r="4" spans="1:2" ht="15.75">
      <c r="A4" t="s">
        <v>254</v>
      </c>
      <c r="B4" s="37">
        <v>0.08</v>
      </c>
    </row>
    <row r="5" spans="1:2" ht="15.75">
      <c r="A5" t="s">
        <v>255</v>
      </c>
      <c r="B5" s="38">
        <v>25000</v>
      </c>
    </row>
    <row r="6" spans="1:2" ht="15.75">
      <c r="A6" t="s">
        <v>256</v>
      </c>
      <c r="B6" s="37">
        <v>0.06</v>
      </c>
    </row>
    <row r="7" spans="1:2" ht="15.75">
      <c r="A7" t="s">
        <v>258</v>
      </c>
      <c r="B7">
        <v>8</v>
      </c>
    </row>
    <row r="8" ht="15.75">
      <c r="A8" t="s">
        <v>259</v>
      </c>
    </row>
    <row r="9" spans="1:3" ht="15.75">
      <c r="A9" s="2" t="s">
        <v>266</v>
      </c>
      <c r="B9" s="38">
        <f>B4*B5/(B6*((1+B6)^B7))</f>
        <v>20913.74571139422</v>
      </c>
      <c r="C9" s="39"/>
    </row>
    <row r="10" spans="1:3" ht="15.75">
      <c r="A10" s="2" t="s">
        <v>267</v>
      </c>
      <c r="B10" s="39">
        <f>B9*1.02/(1+1.02)</f>
        <v>10560.406250307971</v>
      </c>
      <c r="C10" s="39"/>
    </row>
    <row r="11" ht="15.75">
      <c r="A11" t="s">
        <v>260</v>
      </c>
    </row>
    <row r="12" spans="1:3" ht="15.75">
      <c r="A12" s="2" t="s">
        <v>266</v>
      </c>
      <c r="B12" s="39">
        <f>B9*0.5</f>
        <v>10456.87285569711</v>
      </c>
      <c r="C12" s="40"/>
    </row>
    <row r="13" spans="1:3" ht="15.75">
      <c r="A13" s="2" t="s">
        <v>267</v>
      </c>
      <c r="B13" s="41">
        <f>B12*1.02/(1+1.02)</f>
        <v>5280.203125153986</v>
      </c>
      <c r="C13" s="40"/>
    </row>
    <row r="15" ht="15.75">
      <c r="A15" s="16" t="s">
        <v>261</v>
      </c>
    </row>
    <row r="16" spans="1:3" ht="15.75">
      <c r="A16" t="s">
        <v>262</v>
      </c>
      <c r="B16" s="25">
        <f>QuantitativeProse!$E$148</f>
        <v>4.326756067948643</v>
      </c>
      <c r="C16" s="5"/>
    </row>
    <row r="17" spans="1:3" ht="15.75">
      <c r="A17" t="s">
        <v>264</v>
      </c>
      <c r="B17">
        <v>180</v>
      </c>
      <c r="C17" s="5" t="s">
        <v>263</v>
      </c>
    </row>
    <row r="18" spans="1:3" ht="15.75">
      <c r="A18" t="s">
        <v>265</v>
      </c>
      <c r="B18">
        <v>6.64</v>
      </c>
      <c r="C18" s="5" t="s">
        <v>263</v>
      </c>
    </row>
    <row r="19" ht="15.75">
      <c r="A19" t="s">
        <v>259</v>
      </c>
    </row>
    <row r="20" spans="1:2" ht="15.75">
      <c r="A20" s="2" t="s">
        <v>266</v>
      </c>
      <c r="B20" s="39">
        <f>B21*(1+1.02)/1.02</f>
        <v>10241.278903796743</v>
      </c>
    </row>
    <row r="21" spans="1:2" ht="15.75">
      <c r="A21" s="2" t="s">
        <v>267</v>
      </c>
      <c r="B21" s="39">
        <f>B18*B16*B17</f>
        <v>5171.338852412217</v>
      </c>
    </row>
    <row r="22" ht="15.75">
      <c r="A22" t="s">
        <v>260</v>
      </c>
    </row>
    <row r="23" spans="1:2" ht="15.75">
      <c r="A23" s="2" t="s">
        <v>266</v>
      </c>
      <c r="B23" s="39">
        <f>B24*(1+1.02)/1.02</f>
        <v>5120.639451898372</v>
      </c>
    </row>
    <row r="24" spans="1:3" ht="15.75">
      <c r="A24" s="2" t="s">
        <v>267</v>
      </c>
      <c r="B24" s="41">
        <f>B21*0.5</f>
        <v>2585.6694262061087</v>
      </c>
      <c r="C24" s="39"/>
    </row>
    <row r="26" ht="15.75">
      <c r="A26" s="43" t="s">
        <v>268</v>
      </c>
    </row>
    <row r="27" spans="1:2" ht="15.75">
      <c r="A27" s="42" t="s">
        <v>269</v>
      </c>
      <c r="B27" s="39">
        <f>AVERAGE(B13,B24)</f>
        <v>3932.9362756800474</v>
      </c>
    </row>
    <row r="28" spans="1:2" ht="15.75">
      <c r="A28" s="42" t="s">
        <v>270</v>
      </c>
      <c r="B28" s="44">
        <f>B27/(B17*B18)</f>
        <v>3.290609333734979</v>
      </c>
    </row>
  </sheetData>
  <hyperlinks>
    <hyperlink ref="C17" r:id="rId1" display="https://nces.ed.gov/surveys/sass/tables/sass0708_035_s1s.asp"/>
    <hyperlink ref="C18" r:id="rId2" display="https://nces.ed.gov/surveys/sass/tables/sass0708_035_s1s.asp"/>
  </hyperlink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workbookViewId="0" topLeftCell="A1"/>
  </sheetViews>
  <sheetFormatPr defaultColWidth="8.875" defaultRowHeight="15.75"/>
  <cols>
    <col min="1" max="1" width="17.875" style="29" bestFit="1" customWidth="1"/>
    <col min="2" max="2" width="9.125" style="29" bestFit="1" customWidth="1"/>
    <col min="3" max="16384" width="8.875" style="29" customWidth="1"/>
  </cols>
  <sheetData>
    <row r="1" ht="15">
      <c r="A1" s="28" t="s">
        <v>238</v>
      </c>
    </row>
    <row r="3" spans="1:6" ht="15">
      <c r="A3" s="30" t="s">
        <v>239</v>
      </c>
      <c r="B3" s="30">
        <f>0.062+0.0145</f>
        <v>0.0765</v>
      </c>
      <c r="C3" s="30"/>
      <c r="D3" s="30"/>
      <c r="E3" s="30"/>
      <c r="F3" s="30"/>
    </row>
    <row r="4" spans="1:6" ht="15">
      <c r="A4" s="30" t="s">
        <v>240</v>
      </c>
      <c r="B4" s="30">
        <v>9960324</v>
      </c>
      <c r="C4" s="30"/>
      <c r="D4" s="30"/>
      <c r="E4" s="30"/>
      <c r="F4" s="30"/>
    </row>
    <row r="5" spans="1:6" ht="15">
      <c r="A5" s="30" t="s">
        <v>241</v>
      </c>
      <c r="B5" s="30">
        <v>11420851</v>
      </c>
      <c r="C5" s="30"/>
      <c r="D5" s="30"/>
      <c r="E5" s="30"/>
      <c r="F5" s="30"/>
    </row>
    <row r="6" spans="1:6" ht="15">
      <c r="A6" s="30"/>
      <c r="B6" s="30"/>
      <c r="C6" s="30"/>
      <c r="D6" s="30"/>
      <c r="E6" s="30"/>
      <c r="F6" s="30"/>
    </row>
    <row r="7" spans="1:7" ht="15">
      <c r="A7" s="30"/>
      <c r="B7" s="30"/>
      <c r="C7" s="30"/>
      <c r="D7" s="30"/>
      <c r="E7" s="30"/>
      <c r="F7" s="31">
        <f>SUMPRODUCT($F$10:$F$57,$G$10:$G$57)*0.001*$B$5/$B$4</f>
        <v>509.2960008190767</v>
      </c>
      <c r="G7" s="32" t="s">
        <v>242</v>
      </c>
    </row>
    <row r="8" spans="1:6" ht="15">
      <c r="A8" s="30"/>
      <c r="B8" s="66" t="s">
        <v>243</v>
      </c>
      <c r="C8" s="66"/>
      <c r="D8" s="66"/>
      <c r="E8" s="30" t="s">
        <v>244</v>
      </c>
      <c r="F8" s="30"/>
    </row>
    <row r="9" spans="1:7" ht="15">
      <c r="A9" s="30"/>
      <c r="B9" s="33" t="s">
        <v>245</v>
      </c>
      <c r="C9" s="33" t="s">
        <v>246</v>
      </c>
      <c r="D9" s="33" t="s">
        <v>247</v>
      </c>
      <c r="E9" s="33" t="s">
        <v>248</v>
      </c>
      <c r="F9" s="34" t="s">
        <v>249</v>
      </c>
      <c r="G9" s="33" t="s">
        <v>250</v>
      </c>
    </row>
    <row r="10" spans="1:7" ht="15">
      <c r="A10" s="30">
        <v>20</v>
      </c>
      <c r="B10" s="35">
        <v>0.5156</v>
      </c>
      <c r="C10" s="35">
        <v>0.2402229</v>
      </c>
      <c r="D10" s="35">
        <f>AVERAGE(B10:C10)</f>
        <v>0.37791145</v>
      </c>
      <c r="E10" s="32">
        <v>9366.06</v>
      </c>
      <c r="F10" s="32">
        <f>E10*(1+$B$3)*D10/(1-D10)</f>
        <v>6125.038350270401</v>
      </c>
      <c r="G10" s="36">
        <v>4.184803</v>
      </c>
    </row>
    <row r="11" spans="1:7" ht="15">
      <c r="A11" s="30">
        <v>21</v>
      </c>
      <c r="B11" s="35">
        <v>0.4376</v>
      </c>
      <c r="C11" s="35">
        <v>0.2163523</v>
      </c>
      <c r="D11" s="35">
        <f aca="true" t="shared" si="0" ref="D11:D57">AVERAGE(B11:C11)</f>
        <v>0.32697615</v>
      </c>
      <c r="E11" s="32">
        <v>11518.5</v>
      </c>
      <c r="F11" s="32">
        <f aca="true" t="shared" si="1" ref="F11:F57">E11*(1+$B$3)*D11/(1-D11)</f>
        <v>6024.147293938822</v>
      </c>
      <c r="G11" s="36">
        <v>4.383341</v>
      </c>
    </row>
    <row r="12" spans="1:7" ht="15">
      <c r="A12" s="30">
        <v>22</v>
      </c>
      <c r="B12" s="35">
        <v>0.3715</v>
      </c>
      <c r="C12" s="35">
        <v>0.186184</v>
      </c>
      <c r="D12" s="35">
        <f t="shared" si="0"/>
        <v>0.278842</v>
      </c>
      <c r="E12" s="32">
        <v>14770.4</v>
      </c>
      <c r="F12" s="32">
        <f t="shared" si="1"/>
        <v>6148.00276690434</v>
      </c>
      <c r="G12" s="36">
        <v>4.305581</v>
      </c>
    </row>
    <row r="13" spans="1:7" ht="15">
      <c r="A13" s="30">
        <v>23</v>
      </c>
      <c r="B13" s="35">
        <v>0.3151</v>
      </c>
      <c r="C13" s="35">
        <v>0.1689419</v>
      </c>
      <c r="D13" s="35">
        <f t="shared" si="0"/>
        <v>0.24202095</v>
      </c>
      <c r="E13" s="32">
        <v>19304.8</v>
      </c>
      <c r="F13" s="32">
        <f t="shared" si="1"/>
        <v>6635.522099562436</v>
      </c>
      <c r="G13" s="36">
        <v>4.373446</v>
      </c>
    </row>
    <row r="14" spans="1:7" ht="15">
      <c r="A14" s="30">
        <v>24</v>
      </c>
      <c r="B14" s="35">
        <v>0.2666</v>
      </c>
      <c r="C14" s="35">
        <v>0.1491172</v>
      </c>
      <c r="D14" s="35">
        <f t="shared" si="0"/>
        <v>0.2078586</v>
      </c>
      <c r="E14" s="32">
        <v>21418.4</v>
      </c>
      <c r="F14" s="32">
        <f t="shared" si="1"/>
        <v>6050.15283138258</v>
      </c>
      <c r="G14" s="36">
        <v>4.473627</v>
      </c>
    </row>
    <row r="15" spans="1:7" ht="15">
      <c r="A15" s="30">
        <v>25</v>
      </c>
      <c r="B15" s="35">
        <v>0.2248</v>
      </c>
      <c r="C15" s="35">
        <v>0.1360488</v>
      </c>
      <c r="D15" s="35">
        <f t="shared" si="0"/>
        <v>0.18042439999999998</v>
      </c>
      <c r="E15" s="32">
        <v>25570.9</v>
      </c>
      <c r="F15" s="32">
        <f t="shared" si="1"/>
        <v>6059.911719116503</v>
      </c>
      <c r="G15" s="36">
        <v>4.569386</v>
      </c>
    </row>
    <row r="16" spans="1:7" ht="15">
      <c r="A16" s="30">
        <v>26</v>
      </c>
      <c r="B16" s="35">
        <v>0.1886</v>
      </c>
      <c r="C16" s="35">
        <v>0.1277359</v>
      </c>
      <c r="D16" s="35">
        <f t="shared" si="0"/>
        <v>0.15816795</v>
      </c>
      <c r="E16" s="32">
        <v>28360.1</v>
      </c>
      <c r="F16" s="32">
        <f t="shared" si="1"/>
        <v>5736.075008100271</v>
      </c>
      <c r="G16" s="36">
        <v>4.594514</v>
      </c>
    </row>
    <row r="17" spans="1:7" ht="15">
      <c r="A17" s="30">
        <v>27</v>
      </c>
      <c r="B17" s="35">
        <v>0.1574</v>
      </c>
      <c r="C17" s="35">
        <v>0.1195742</v>
      </c>
      <c r="D17" s="35">
        <f t="shared" si="0"/>
        <v>0.1384871</v>
      </c>
      <c r="E17" s="32">
        <v>29727.5</v>
      </c>
      <c r="F17" s="32">
        <f t="shared" si="1"/>
        <v>5144.225029064133</v>
      </c>
      <c r="G17" s="36">
        <v>4.30075</v>
      </c>
    </row>
    <row r="18" spans="1:7" ht="15">
      <c r="A18" s="30">
        <v>28</v>
      </c>
      <c r="B18" s="35">
        <v>0.1304</v>
      </c>
      <c r="C18" s="35">
        <v>0.1138827</v>
      </c>
      <c r="D18" s="35">
        <f t="shared" si="0"/>
        <v>0.12214135</v>
      </c>
      <c r="E18" s="32">
        <v>30385.7</v>
      </c>
      <c r="F18" s="32">
        <f t="shared" si="1"/>
        <v>4551.152655071711</v>
      </c>
      <c r="G18" s="36">
        <v>4.339962</v>
      </c>
    </row>
    <row r="19" spans="1:7" ht="15">
      <c r="A19" s="30">
        <v>29</v>
      </c>
      <c r="B19" s="35">
        <v>0.1072</v>
      </c>
      <c r="C19" s="35">
        <v>0.1073375</v>
      </c>
      <c r="D19" s="35">
        <f t="shared" si="0"/>
        <v>0.10726875</v>
      </c>
      <c r="E19" s="32">
        <v>32252.7</v>
      </c>
      <c r="F19" s="32">
        <f t="shared" si="1"/>
        <v>4171.887546592619</v>
      </c>
      <c r="G19" s="36">
        <v>4.463191</v>
      </c>
    </row>
    <row r="20" spans="1:7" ht="15">
      <c r="A20" s="30">
        <v>30</v>
      </c>
      <c r="B20" s="35">
        <v>0.0873</v>
      </c>
      <c r="C20" s="35">
        <v>0.1018646</v>
      </c>
      <c r="D20" s="35">
        <f t="shared" si="0"/>
        <v>0.09458230000000001</v>
      </c>
      <c r="E20" s="32">
        <v>32960.6</v>
      </c>
      <c r="F20" s="32">
        <f t="shared" si="1"/>
        <v>3706.5514548915603</v>
      </c>
      <c r="G20" s="36">
        <v>4.330979</v>
      </c>
    </row>
    <row r="21" spans="1:7" ht="15">
      <c r="A21" s="30">
        <v>31</v>
      </c>
      <c r="B21" s="35">
        <v>0.0704</v>
      </c>
      <c r="C21" s="35">
        <v>0.0950305</v>
      </c>
      <c r="D21" s="35">
        <f t="shared" si="0"/>
        <v>0.08271525</v>
      </c>
      <c r="E21" s="32">
        <v>34175.2</v>
      </c>
      <c r="F21" s="32">
        <f t="shared" si="1"/>
        <v>3317.4662426282575</v>
      </c>
      <c r="G21" s="36">
        <v>4.341484</v>
      </c>
    </row>
    <row r="22" spans="1:7" ht="15">
      <c r="A22" s="30">
        <v>32</v>
      </c>
      <c r="B22" s="35">
        <v>0.0562</v>
      </c>
      <c r="C22" s="35">
        <v>0.0916236</v>
      </c>
      <c r="D22" s="35">
        <f t="shared" si="0"/>
        <v>0.0739118</v>
      </c>
      <c r="E22" s="32">
        <v>35001.4</v>
      </c>
      <c r="F22" s="32">
        <f t="shared" si="1"/>
        <v>3007.190067829155</v>
      </c>
      <c r="G22" s="36">
        <v>4.135034</v>
      </c>
    </row>
    <row r="23" spans="1:7" ht="15">
      <c r="A23" s="30">
        <v>33</v>
      </c>
      <c r="B23" s="35">
        <v>0.0443</v>
      </c>
      <c r="C23" s="35">
        <v>0.0882907</v>
      </c>
      <c r="D23" s="35">
        <f t="shared" si="0"/>
        <v>0.06629535</v>
      </c>
      <c r="E23" s="32">
        <v>34362.3</v>
      </c>
      <c r="F23" s="32">
        <f t="shared" si="1"/>
        <v>2626.4540390377542</v>
      </c>
      <c r="G23" s="36">
        <v>4.248737</v>
      </c>
    </row>
    <row r="24" spans="1:7" ht="15">
      <c r="A24" s="30">
        <v>34</v>
      </c>
      <c r="B24" s="35">
        <v>0.0344</v>
      </c>
      <c r="C24" s="35">
        <v>0.0835539</v>
      </c>
      <c r="D24" s="35">
        <f t="shared" si="0"/>
        <v>0.05897695</v>
      </c>
      <c r="E24" s="32">
        <v>35402.3</v>
      </c>
      <c r="F24" s="32">
        <f t="shared" si="1"/>
        <v>2388.512728008472</v>
      </c>
      <c r="G24" s="36">
        <v>4.222781</v>
      </c>
    </row>
    <row r="25" spans="1:7" ht="15">
      <c r="A25" s="30">
        <v>35</v>
      </c>
      <c r="B25" s="35">
        <v>0.0264</v>
      </c>
      <c r="C25" s="35">
        <v>0.081857</v>
      </c>
      <c r="D25" s="35">
        <f t="shared" si="0"/>
        <v>0.054128499999999996</v>
      </c>
      <c r="E25" s="32">
        <v>37377.1</v>
      </c>
      <c r="F25" s="32">
        <f t="shared" si="1"/>
        <v>2302.5734295697407</v>
      </c>
      <c r="G25" s="36">
        <v>4.195874</v>
      </c>
    </row>
    <row r="26" spans="1:7" ht="15">
      <c r="A26" s="30">
        <v>36</v>
      </c>
      <c r="B26" s="35">
        <v>0.0199</v>
      </c>
      <c r="C26" s="35">
        <v>0.0796346</v>
      </c>
      <c r="D26" s="35">
        <f t="shared" si="0"/>
        <v>0.0497673</v>
      </c>
      <c r="E26" s="32">
        <v>38018.7</v>
      </c>
      <c r="F26" s="32">
        <f t="shared" si="1"/>
        <v>2143.5094627042563</v>
      </c>
      <c r="G26" s="36">
        <v>4.396035</v>
      </c>
    </row>
    <row r="27" spans="1:7" ht="15">
      <c r="A27" s="30">
        <v>37</v>
      </c>
      <c r="B27" s="35">
        <v>0.0147</v>
      </c>
      <c r="C27" s="35">
        <v>0.076377</v>
      </c>
      <c r="D27" s="35">
        <f t="shared" si="0"/>
        <v>0.0455385</v>
      </c>
      <c r="E27" s="32">
        <v>38907.5</v>
      </c>
      <c r="F27" s="32">
        <f t="shared" si="1"/>
        <v>1998.3321084081185</v>
      </c>
      <c r="G27" s="36">
        <v>4.060311</v>
      </c>
    </row>
    <row r="28" spans="1:7" ht="15">
      <c r="A28" s="30">
        <v>38</v>
      </c>
      <c r="B28" s="35">
        <v>0.0107</v>
      </c>
      <c r="C28" s="35">
        <v>0.0729849</v>
      </c>
      <c r="D28" s="35">
        <f t="shared" si="0"/>
        <v>0.04184245</v>
      </c>
      <c r="E28" s="32">
        <v>39123.9</v>
      </c>
      <c r="F28" s="32">
        <f t="shared" si="1"/>
        <v>1839.2313211078465</v>
      </c>
      <c r="G28" s="36">
        <v>3.932418</v>
      </c>
    </row>
    <row r="29" spans="1:7" ht="15">
      <c r="A29" s="30">
        <v>39</v>
      </c>
      <c r="B29" s="35">
        <v>0.0076</v>
      </c>
      <c r="C29" s="35">
        <v>0.0708849</v>
      </c>
      <c r="D29" s="35">
        <f t="shared" si="0"/>
        <v>0.03924245</v>
      </c>
      <c r="E29" s="32">
        <v>39432.7</v>
      </c>
      <c r="F29" s="32">
        <f t="shared" si="1"/>
        <v>1733.8553244893026</v>
      </c>
      <c r="G29" s="36">
        <v>3.808423</v>
      </c>
    </row>
    <row r="30" spans="1:7" ht="15">
      <c r="A30" s="30">
        <v>40</v>
      </c>
      <c r="B30" s="35">
        <v>0.0053</v>
      </c>
      <c r="C30" s="35">
        <v>0.0705924</v>
      </c>
      <c r="D30" s="35">
        <f t="shared" si="0"/>
        <v>0.0379462</v>
      </c>
      <c r="E30" s="32">
        <v>39501.1</v>
      </c>
      <c r="F30" s="32">
        <f t="shared" si="1"/>
        <v>1677.2282005878776</v>
      </c>
      <c r="G30" s="36">
        <v>3.890417</v>
      </c>
    </row>
    <row r="31" spans="1:7" ht="15">
      <c r="A31" s="30">
        <v>41</v>
      </c>
      <c r="B31" s="35">
        <v>0.0036</v>
      </c>
      <c r="C31" s="35">
        <v>0.0685512</v>
      </c>
      <c r="D31" s="35">
        <f t="shared" si="0"/>
        <v>0.036075600000000006</v>
      </c>
      <c r="E31" s="32">
        <v>39338.9</v>
      </c>
      <c r="F31" s="32">
        <f t="shared" si="1"/>
        <v>1584.9181367690871</v>
      </c>
      <c r="G31" s="36">
        <v>3.907628</v>
      </c>
    </row>
    <row r="32" spans="1:7" ht="15">
      <c r="A32" s="30">
        <v>42</v>
      </c>
      <c r="B32" s="35">
        <v>0.0023</v>
      </c>
      <c r="C32" s="35">
        <v>0.0638273</v>
      </c>
      <c r="D32" s="35">
        <f t="shared" si="0"/>
        <v>0.03306365</v>
      </c>
      <c r="E32" s="32">
        <v>42102.7</v>
      </c>
      <c r="F32" s="32">
        <f t="shared" si="1"/>
        <v>1549.8044008009495</v>
      </c>
      <c r="G32" s="36">
        <v>3.814252</v>
      </c>
    </row>
    <row r="33" spans="1:7" ht="15">
      <c r="A33" s="30">
        <v>43</v>
      </c>
      <c r="B33" s="35">
        <v>0.0015</v>
      </c>
      <c r="C33" s="35">
        <v>0.0625488</v>
      </c>
      <c r="D33" s="35">
        <f t="shared" si="0"/>
        <v>0.0320244</v>
      </c>
      <c r="E33" s="32">
        <v>40062.7</v>
      </c>
      <c r="F33" s="32">
        <f t="shared" si="1"/>
        <v>1426.8254287771508</v>
      </c>
      <c r="G33" s="36">
        <v>3.862342</v>
      </c>
    </row>
    <row r="34" spans="1:7" ht="15">
      <c r="A34" s="30">
        <v>44</v>
      </c>
      <c r="B34" s="30">
        <v>0.0009</v>
      </c>
      <c r="C34" s="35">
        <v>0.0607031</v>
      </c>
      <c r="D34" s="35">
        <f t="shared" si="0"/>
        <v>0.03080155</v>
      </c>
      <c r="E34" s="32">
        <v>38218.4</v>
      </c>
      <c r="F34" s="32">
        <f t="shared" si="1"/>
        <v>1307.514146712451</v>
      </c>
      <c r="G34" s="36">
        <v>3.948892</v>
      </c>
    </row>
    <row r="35" spans="1:7" ht="15">
      <c r="A35" s="30">
        <v>45</v>
      </c>
      <c r="B35" s="30">
        <v>0.0006</v>
      </c>
      <c r="C35" s="35">
        <v>0.0593519</v>
      </c>
      <c r="D35" s="35">
        <f t="shared" si="0"/>
        <v>0.02997595</v>
      </c>
      <c r="E35" s="32">
        <v>39259.1</v>
      </c>
      <c r="F35" s="32">
        <f t="shared" si="1"/>
        <v>1306.004962734009</v>
      </c>
      <c r="G35" s="36">
        <v>4.327761</v>
      </c>
    </row>
    <row r="36" spans="1:7" ht="15">
      <c r="A36" s="30">
        <v>46</v>
      </c>
      <c r="B36" s="30">
        <v>0.0003</v>
      </c>
      <c r="C36" s="35">
        <v>0.0554377</v>
      </c>
      <c r="D36" s="35">
        <f t="shared" si="0"/>
        <v>0.02786885</v>
      </c>
      <c r="E36" s="32">
        <v>40062.6</v>
      </c>
      <c r="F36" s="32">
        <f t="shared" si="1"/>
        <v>1236.3668545604828</v>
      </c>
      <c r="G36" s="36">
        <v>4.311931</v>
      </c>
    </row>
    <row r="37" spans="1:7" ht="15">
      <c r="A37" s="30">
        <v>47</v>
      </c>
      <c r="B37" s="30">
        <v>0.0002</v>
      </c>
      <c r="C37" s="35">
        <v>0.0553769</v>
      </c>
      <c r="D37" s="35">
        <f t="shared" si="0"/>
        <v>0.02778845</v>
      </c>
      <c r="E37" s="32">
        <v>39272.9</v>
      </c>
      <c r="F37" s="32">
        <f t="shared" si="1"/>
        <v>1208.3995441963043</v>
      </c>
      <c r="G37" s="36">
        <v>4.001059</v>
      </c>
    </row>
    <row r="38" spans="1:7" ht="15">
      <c r="A38" s="30">
        <v>48</v>
      </c>
      <c r="B38" s="30">
        <v>0.0001</v>
      </c>
      <c r="C38" s="35">
        <v>0.0525993</v>
      </c>
      <c r="D38" s="35">
        <f t="shared" si="0"/>
        <v>0.026349650000000002</v>
      </c>
      <c r="E38" s="32">
        <v>37884.8</v>
      </c>
      <c r="F38" s="32">
        <f t="shared" si="1"/>
        <v>1103.699535130327</v>
      </c>
      <c r="G38" s="36">
        <v>4.074515</v>
      </c>
    </row>
    <row r="39" spans="1:7" ht="15">
      <c r="A39" s="30">
        <v>49</v>
      </c>
      <c r="B39" s="30">
        <v>0</v>
      </c>
      <c r="C39" s="35">
        <v>0.049852</v>
      </c>
      <c r="D39" s="35">
        <f t="shared" si="0"/>
        <v>0.024926</v>
      </c>
      <c r="E39" s="32">
        <v>38081.9</v>
      </c>
      <c r="F39" s="32">
        <f t="shared" si="1"/>
        <v>1047.967119945871</v>
      </c>
      <c r="G39" s="36">
        <v>3.9855</v>
      </c>
    </row>
    <row r="40" spans="1:7" ht="15">
      <c r="A40" s="30">
        <v>50</v>
      </c>
      <c r="B40" s="30">
        <v>0</v>
      </c>
      <c r="C40" s="35">
        <v>0.0475265</v>
      </c>
      <c r="D40" s="35">
        <f t="shared" si="0"/>
        <v>0.02376325</v>
      </c>
      <c r="E40" s="32">
        <v>39681.8</v>
      </c>
      <c r="F40" s="32">
        <f t="shared" si="1"/>
        <v>1039.8150107435774</v>
      </c>
      <c r="G40" s="36">
        <v>4.117681</v>
      </c>
    </row>
    <row r="41" spans="1:7" ht="15">
      <c r="A41" s="30">
        <v>51</v>
      </c>
      <c r="B41" s="30">
        <v>0</v>
      </c>
      <c r="C41" s="35">
        <v>0.045586</v>
      </c>
      <c r="D41" s="35">
        <f t="shared" si="0"/>
        <v>0.022793</v>
      </c>
      <c r="E41" s="32">
        <v>38370.7</v>
      </c>
      <c r="F41" s="32">
        <f t="shared" si="1"/>
        <v>963.4488829185115</v>
      </c>
      <c r="G41" s="36">
        <v>4.363374</v>
      </c>
    </row>
    <row r="42" spans="1:7" ht="15">
      <c r="A42" s="30">
        <v>52</v>
      </c>
      <c r="B42" s="30">
        <v>0</v>
      </c>
      <c r="C42" s="35">
        <v>0.0426744</v>
      </c>
      <c r="D42" s="35">
        <f t="shared" si="0"/>
        <v>0.0213372</v>
      </c>
      <c r="E42" s="32">
        <v>36802.6</v>
      </c>
      <c r="F42" s="32">
        <f t="shared" si="1"/>
        <v>863.7675470336463</v>
      </c>
      <c r="G42" s="36">
        <v>4.458538</v>
      </c>
    </row>
    <row r="43" spans="1:7" ht="15">
      <c r="A43" s="30">
        <v>53</v>
      </c>
      <c r="B43" s="30">
        <v>0</v>
      </c>
      <c r="C43" s="35">
        <v>0.0397936</v>
      </c>
      <c r="D43" s="35">
        <f t="shared" si="0"/>
        <v>0.0198968</v>
      </c>
      <c r="E43" s="32">
        <v>36622.6</v>
      </c>
      <c r="F43" s="32">
        <f t="shared" si="1"/>
        <v>800.3402066002029</v>
      </c>
      <c r="G43" s="36">
        <v>4.494319</v>
      </c>
    </row>
    <row r="44" spans="1:7" ht="15">
      <c r="A44" s="30">
        <v>54</v>
      </c>
      <c r="B44" s="30">
        <v>0</v>
      </c>
      <c r="C44" s="35">
        <v>0.037434</v>
      </c>
      <c r="D44" s="35">
        <f t="shared" si="0"/>
        <v>0.018717</v>
      </c>
      <c r="E44" s="32">
        <v>36663.1</v>
      </c>
      <c r="F44" s="32">
        <f t="shared" si="1"/>
        <v>752.8096591569914</v>
      </c>
      <c r="G44" s="36">
        <v>4.259535</v>
      </c>
    </row>
    <row r="45" spans="1:7" ht="15">
      <c r="A45" s="30">
        <v>55</v>
      </c>
      <c r="B45" s="30">
        <v>0</v>
      </c>
      <c r="C45" s="35">
        <v>0.0352064</v>
      </c>
      <c r="D45" s="35">
        <f t="shared" si="0"/>
        <v>0.0176032</v>
      </c>
      <c r="E45" s="32">
        <v>34358.2</v>
      </c>
      <c r="F45" s="32">
        <f t="shared" si="1"/>
        <v>662.7490618936869</v>
      </c>
      <c r="G45" s="36">
        <v>4.385137</v>
      </c>
    </row>
    <row r="46" spans="1:7" ht="15">
      <c r="A46" s="30">
        <v>56</v>
      </c>
      <c r="B46" s="30">
        <v>0</v>
      </c>
      <c r="C46" s="35">
        <v>0.0320714</v>
      </c>
      <c r="D46" s="35">
        <f t="shared" si="0"/>
        <v>0.0160357</v>
      </c>
      <c r="E46" s="32">
        <v>34322</v>
      </c>
      <c r="F46" s="32">
        <f t="shared" si="1"/>
        <v>602.1368442921151</v>
      </c>
      <c r="G46" s="36">
        <v>4.525432</v>
      </c>
    </row>
    <row r="47" spans="1:7" ht="15">
      <c r="A47" s="30">
        <v>57</v>
      </c>
      <c r="B47" s="30">
        <v>0</v>
      </c>
      <c r="C47" s="35">
        <v>0.0300408</v>
      </c>
      <c r="D47" s="35">
        <f t="shared" si="0"/>
        <v>0.0150204</v>
      </c>
      <c r="E47" s="32">
        <v>32613.6</v>
      </c>
      <c r="F47" s="32">
        <f t="shared" si="1"/>
        <v>535.3860325880455</v>
      </c>
      <c r="G47" s="36">
        <v>4.393466</v>
      </c>
    </row>
    <row r="48" spans="1:7" ht="15">
      <c r="A48" s="30">
        <v>58</v>
      </c>
      <c r="B48" s="30">
        <v>0</v>
      </c>
      <c r="C48" s="35">
        <v>0.0270716</v>
      </c>
      <c r="D48" s="35">
        <f t="shared" si="0"/>
        <v>0.0135358</v>
      </c>
      <c r="E48" s="32">
        <v>32470.6</v>
      </c>
      <c r="F48" s="32">
        <f t="shared" si="1"/>
        <v>479.63067170832954</v>
      </c>
      <c r="G48" s="36">
        <v>4.345404</v>
      </c>
    </row>
    <row r="49" spans="1:7" ht="15">
      <c r="A49" s="30">
        <v>59</v>
      </c>
      <c r="B49" s="30">
        <v>0</v>
      </c>
      <c r="C49" s="35">
        <v>0.0239428</v>
      </c>
      <c r="D49" s="35">
        <f t="shared" si="0"/>
        <v>0.0119714</v>
      </c>
      <c r="E49" s="32">
        <v>31998.7</v>
      </c>
      <c r="F49" s="32">
        <f t="shared" si="1"/>
        <v>417.3705435493163</v>
      </c>
      <c r="G49" s="36">
        <v>4.179459</v>
      </c>
    </row>
    <row r="50" spans="1:7" ht="15">
      <c r="A50" s="30">
        <v>60</v>
      </c>
      <c r="B50" s="30">
        <v>0</v>
      </c>
      <c r="C50" s="35">
        <v>0.0215394</v>
      </c>
      <c r="D50" s="35">
        <f t="shared" si="0"/>
        <v>0.0107697</v>
      </c>
      <c r="E50" s="32">
        <v>28324.9</v>
      </c>
      <c r="F50" s="32">
        <f t="shared" si="1"/>
        <v>331.96218535567</v>
      </c>
      <c r="G50" s="36">
        <v>4.168845</v>
      </c>
    </row>
    <row r="51" spans="1:7" ht="15">
      <c r="A51" s="30">
        <v>61</v>
      </c>
      <c r="B51" s="30">
        <v>0</v>
      </c>
      <c r="C51" s="35">
        <v>0.020218</v>
      </c>
      <c r="D51" s="35">
        <f t="shared" si="0"/>
        <v>0.010109</v>
      </c>
      <c r="E51" s="32">
        <v>27082.4</v>
      </c>
      <c r="F51" s="32">
        <f t="shared" si="1"/>
        <v>297.7295926444427</v>
      </c>
      <c r="G51" s="36">
        <v>4.069903</v>
      </c>
    </row>
    <row r="52" spans="1:7" ht="15">
      <c r="A52" s="30">
        <v>62</v>
      </c>
      <c r="B52" s="30">
        <v>0</v>
      </c>
      <c r="C52" s="35">
        <v>0.016698</v>
      </c>
      <c r="D52" s="35">
        <f t="shared" si="0"/>
        <v>0.008349</v>
      </c>
      <c r="E52" s="32">
        <v>24103.4</v>
      </c>
      <c r="F52" s="32">
        <f t="shared" si="1"/>
        <v>218.45799784894086</v>
      </c>
      <c r="G52" s="36">
        <v>3.858284</v>
      </c>
    </row>
    <row r="53" spans="1:7" ht="15">
      <c r="A53" s="30">
        <v>63</v>
      </c>
      <c r="B53" s="30">
        <v>0</v>
      </c>
      <c r="C53" s="35">
        <v>0.0141427</v>
      </c>
      <c r="D53" s="35">
        <f t="shared" si="0"/>
        <v>0.00707135</v>
      </c>
      <c r="E53" s="32">
        <v>21251.6</v>
      </c>
      <c r="F53" s="32">
        <f t="shared" si="1"/>
        <v>162.92583614843824</v>
      </c>
      <c r="G53" s="36">
        <v>3.646713</v>
      </c>
    </row>
    <row r="54" spans="1:7" ht="15">
      <c r="A54" s="30">
        <v>64</v>
      </c>
      <c r="B54" s="30">
        <v>0</v>
      </c>
      <c r="C54" s="35">
        <v>0.0135642</v>
      </c>
      <c r="D54" s="35">
        <f t="shared" si="0"/>
        <v>0.0067821</v>
      </c>
      <c r="E54" s="32">
        <v>18784.2</v>
      </c>
      <c r="F54" s="32">
        <f t="shared" si="1"/>
        <v>138.07860441875846</v>
      </c>
      <c r="G54" s="36">
        <v>3.735147</v>
      </c>
    </row>
    <row r="55" spans="1:7" ht="15">
      <c r="A55" s="30">
        <v>65</v>
      </c>
      <c r="B55" s="30">
        <v>0</v>
      </c>
      <c r="C55" s="35">
        <v>0.0104486</v>
      </c>
      <c r="D55" s="35">
        <f t="shared" si="0"/>
        <v>0.0052243</v>
      </c>
      <c r="E55" s="32">
        <v>15788.9</v>
      </c>
      <c r="F55" s="32">
        <f t="shared" si="1"/>
        <v>89.26245933194288</v>
      </c>
      <c r="G55" s="36">
        <v>3.56573</v>
      </c>
    </row>
    <row r="56" spans="1:7" ht="15">
      <c r="A56" s="30">
        <v>66</v>
      </c>
      <c r="B56" s="30">
        <v>0</v>
      </c>
      <c r="C56" s="35">
        <v>0.0082504</v>
      </c>
      <c r="D56" s="35">
        <f t="shared" si="0"/>
        <v>0.0041252</v>
      </c>
      <c r="E56" s="32">
        <v>12115.4</v>
      </c>
      <c r="F56" s="32">
        <f t="shared" si="1"/>
        <v>54.0246618933625</v>
      </c>
      <c r="G56" s="36">
        <v>3.370524</v>
      </c>
    </row>
    <row r="57" spans="1:7" ht="15">
      <c r="A57" s="30">
        <v>67</v>
      </c>
      <c r="B57" s="30">
        <v>0</v>
      </c>
      <c r="C57" s="35">
        <v>0.0034519</v>
      </c>
      <c r="D57" s="35">
        <f t="shared" si="0"/>
        <v>0.00172595</v>
      </c>
      <c r="E57" s="32">
        <v>10441.4</v>
      </c>
      <c r="F57" s="32">
        <f t="shared" si="1"/>
        <v>19.433507668805973</v>
      </c>
      <c r="G57" s="36">
        <v>3.306547</v>
      </c>
    </row>
    <row r="58" spans="1:5" ht="15">
      <c r="A58" s="30"/>
      <c r="B58" s="30"/>
      <c r="C58" s="30"/>
      <c r="D58" s="30"/>
      <c r="E58" s="30"/>
    </row>
    <row r="59" spans="1:6" ht="15">
      <c r="A59" s="30"/>
      <c r="B59" s="30"/>
      <c r="C59" s="30"/>
      <c r="D59" s="30"/>
      <c r="E59" s="30"/>
      <c r="F59" s="30"/>
    </row>
    <row r="60" spans="1:6" ht="15">
      <c r="A60" s="30"/>
      <c r="B60" s="30"/>
      <c r="C60" s="30"/>
      <c r="D60" s="30"/>
      <c r="E60" s="30"/>
      <c r="F60" s="30"/>
    </row>
    <row r="61" spans="1:6" ht="15">
      <c r="A61" s="30"/>
      <c r="B61" s="30"/>
      <c r="C61" s="30"/>
      <c r="D61" s="30"/>
      <c r="E61" s="30"/>
      <c r="F61" s="30"/>
    </row>
    <row r="62" spans="1:6" ht="15">
      <c r="A62" s="30"/>
      <c r="B62" s="30"/>
      <c r="C62" s="30"/>
      <c r="D62" s="30"/>
      <c r="E62" s="30"/>
      <c r="F62" s="30"/>
    </row>
    <row r="63" spans="1:6" ht="15">
      <c r="A63" s="30"/>
      <c r="B63" s="30"/>
      <c r="C63" s="30"/>
      <c r="D63" s="30"/>
      <c r="E63" s="30"/>
      <c r="F63" s="30"/>
    </row>
    <row r="64" spans="1:6" ht="15">
      <c r="A64" s="30"/>
      <c r="B64" s="30"/>
      <c r="C64" s="30"/>
      <c r="D64" s="30"/>
      <c r="E64" s="30"/>
      <c r="F64" s="30"/>
    </row>
    <row r="65" spans="1:6" ht="15">
      <c r="A65" s="30"/>
      <c r="B65" s="30"/>
      <c r="C65" s="30"/>
      <c r="D65" s="30"/>
      <c r="E65" s="30"/>
      <c r="F65" s="30"/>
    </row>
    <row r="66" spans="1:6" ht="15">
      <c r="A66" s="30"/>
      <c r="B66" s="30"/>
      <c r="C66" s="30"/>
      <c r="D66" s="30"/>
      <c r="E66" s="30"/>
      <c r="F66" s="30"/>
    </row>
    <row r="67" spans="1:6" ht="15">
      <c r="A67" s="30"/>
      <c r="B67" s="30"/>
      <c r="C67" s="30"/>
      <c r="D67" s="30"/>
      <c r="E67" s="30"/>
      <c r="F67" s="30"/>
    </row>
    <row r="68" spans="1:6" ht="15">
      <c r="A68" s="30"/>
      <c r="B68" s="30"/>
      <c r="C68" s="30"/>
      <c r="D68" s="30"/>
      <c r="E68" s="30"/>
      <c r="F68" s="30"/>
    </row>
    <row r="69" spans="1:6" ht="15">
      <c r="A69" s="30"/>
      <c r="B69" s="30"/>
      <c r="C69" s="30"/>
      <c r="D69" s="30"/>
      <c r="E69" s="30"/>
      <c r="F69" s="30"/>
    </row>
    <row r="70" spans="1:6" ht="15">
      <c r="A70" s="30"/>
      <c r="B70" s="30"/>
      <c r="C70" s="30"/>
      <c r="D70" s="30"/>
      <c r="E70" s="30"/>
      <c r="F70" s="30"/>
    </row>
    <row r="71" spans="1:6" ht="15">
      <c r="A71" s="30"/>
      <c r="B71" s="30"/>
      <c r="C71" s="30"/>
      <c r="D71" s="30"/>
      <c r="E71" s="30"/>
      <c r="F71" s="30"/>
    </row>
    <row r="72" spans="1:6" ht="15">
      <c r="A72" s="30"/>
      <c r="B72" s="30"/>
      <c r="C72" s="30"/>
      <c r="D72" s="30"/>
      <c r="E72" s="30"/>
      <c r="F72" s="30"/>
    </row>
    <row r="73" spans="1:6" ht="15">
      <c r="A73" s="30"/>
      <c r="B73" s="30"/>
      <c r="C73" s="30"/>
      <c r="D73" s="30"/>
      <c r="E73" s="30"/>
      <c r="F73" s="30"/>
    </row>
    <row r="74" spans="1:6" ht="15">
      <c r="A74" s="30"/>
      <c r="B74" s="30"/>
      <c r="C74" s="30"/>
      <c r="D74" s="30"/>
      <c r="E74" s="30"/>
      <c r="F74" s="30"/>
    </row>
    <row r="75" spans="1:6" ht="15">
      <c r="A75" s="30"/>
      <c r="B75" s="30"/>
      <c r="C75" s="30"/>
      <c r="D75" s="30"/>
      <c r="E75" s="30"/>
      <c r="F75" s="30"/>
    </row>
    <row r="76" spans="1:6" ht="15">
      <c r="A76" s="30"/>
      <c r="B76" s="30"/>
      <c r="C76" s="30"/>
      <c r="D76" s="30"/>
      <c r="E76" s="30"/>
      <c r="F76" s="30"/>
    </row>
    <row r="77" spans="1:6" ht="15">
      <c r="A77" s="30"/>
      <c r="B77" s="30"/>
      <c r="C77" s="30"/>
      <c r="D77" s="30"/>
      <c r="E77" s="30"/>
      <c r="F77" s="30"/>
    </row>
    <row r="78" spans="1:6" ht="15">
      <c r="A78" s="30"/>
      <c r="B78" s="30"/>
      <c r="C78" s="30"/>
      <c r="D78" s="30"/>
      <c r="E78" s="30"/>
      <c r="F78" s="30"/>
    </row>
    <row r="79" spans="1:6" ht="15">
      <c r="A79" s="30"/>
      <c r="B79" s="30"/>
      <c r="C79" s="30"/>
      <c r="D79" s="30"/>
      <c r="E79" s="30"/>
      <c r="F79" s="30"/>
    </row>
    <row r="80" spans="1:6" ht="15">
      <c r="A80" s="30"/>
      <c r="B80" s="30"/>
      <c r="C80" s="30"/>
      <c r="D80" s="30"/>
      <c r="E80" s="30"/>
      <c r="F80" s="30"/>
    </row>
    <row r="81" spans="1:6" ht="15">
      <c r="A81" s="30"/>
      <c r="B81" s="30"/>
      <c r="C81" s="30"/>
      <c r="D81" s="30"/>
      <c r="E81" s="30"/>
      <c r="F81" s="30"/>
    </row>
    <row r="82" spans="1:6" ht="15">
      <c r="A82" s="30"/>
      <c r="B82" s="30"/>
      <c r="C82" s="30"/>
      <c r="D82" s="30"/>
      <c r="E82" s="30"/>
      <c r="F82" s="30"/>
    </row>
    <row r="83" spans="1:6" ht="15">
      <c r="A83" s="30"/>
      <c r="B83" s="30"/>
      <c r="C83" s="30"/>
      <c r="D83" s="30"/>
      <c r="E83" s="30"/>
      <c r="F83" s="30"/>
    </row>
    <row r="84" spans="1:6" ht="15">
      <c r="A84" s="30"/>
      <c r="B84" s="30"/>
      <c r="C84" s="30"/>
      <c r="D84" s="30"/>
      <c r="E84" s="30"/>
      <c r="F84" s="30"/>
    </row>
    <row r="85" spans="1:6" ht="15">
      <c r="A85" s="30"/>
      <c r="B85" s="30"/>
      <c r="C85" s="30"/>
      <c r="D85" s="30"/>
      <c r="E85" s="30"/>
      <c r="F85" s="30"/>
    </row>
    <row r="86" spans="1:6" ht="15">
      <c r="A86" s="30"/>
      <c r="B86" s="30"/>
      <c r="C86" s="30"/>
      <c r="D86" s="30"/>
      <c r="E86" s="30"/>
      <c r="F86" s="30"/>
    </row>
    <row r="87" spans="1:6" ht="15">
      <c r="A87" s="30"/>
      <c r="B87" s="30"/>
      <c r="C87" s="30"/>
      <c r="D87" s="30"/>
      <c r="E87" s="30"/>
      <c r="F87" s="30"/>
    </row>
    <row r="88" spans="1:6" ht="15">
      <c r="A88" s="30"/>
      <c r="B88" s="30"/>
      <c r="C88" s="30"/>
      <c r="D88" s="30"/>
      <c r="E88" s="30"/>
      <c r="F88" s="30"/>
    </row>
    <row r="89" spans="1:6" ht="15">
      <c r="A89" s="30"/>
      <c r="B89" s="30"/>
      <c r="C89" s="30"/>
      <c r="D89" s="30"/>
      <c r="E89" s="30"/>
      <c r="F89" s="30"/>
    </row>
    <row r="90" spans="1:6" ht="15">
      <c r="A90" s="30"/>
      <c r="B90" s="30"/>
      <c r="C90" s="30"/>
      <c r="D90" s="30"/>
      <c r="E90" s="30"/>
      <c r="F90" s="30"/>
    </row>
    <row r="91" spans="1:6" ht="15">
      <c r="A91" s="30"/>
      <c r="B91" s="30"/>
      <c r="C91" s="30"/>
      <c r="D91" s="30"/>
      <c r="E91" s="30"/>
      <c r="F91" s="30"/>
    </row>
    <row r="92" spans="1:6" ht="15">
      <c r="A92" s="30"/>
      <c r="B92" s="30"/>
      <c r="C92" s="30"/>
      <c r="D92" s="30"/>
      <c r="E92" s="30"/>
      <c r="F92" s="30"/>
    </row>
    <row r="93" spans="1:6" ht="15">
      <c r="A93" s="30"/>
      <c r="B93" s="30"/>
      <c r="C93" s="30"/>
      <c r="D93" s="30"/>
      <c r="E93" s="30"/>
      <c r="F93" s="30"/>
    </row>
    <row r="94" spans="1:6" ht="15">
      <c r="A94" s="30"/>
      <c r="B94" s="30"/>
      <c r="C94" s="30"/>
      <c r="D94" s="30"/>
      <c r="E94" s="30"/>
      <c r="F94" s="30"/>
    </row>
    <row r="95" spans="1:6" ht="15">
      <c r="A95" s="30"/>
      <c r="B95" s="30"/>
      <c r="C95" s="30"/>
      <c r="D95" s="30"/>
      <c r="E95" s="30"/>
      <c r="F95" s="30"/>
    </row>
    <row r="96" spans="1:6" ht="15">
      <c r="A96" s="30"/>
      <c r="B96" s="30"/>
      <c r="C96" s="30"/>
      <c r="D96" s="30"/>
      <c r="E96" s="30"/>
      <c r="F96" s="30"/>
    </row>
    <row r="97" spans="1:6" ht="15">
      <c r="A97" s="30"/>
      <c r="B97" s="30"/>
      <c r="C97" s="30"/>
      <c r="D97" s="30"/>
      <c r="E97" s="30"/>
      <c r="F97" s="30"/>
    </row>
    <row r="98" spans="1:6" ht="15">
      <c r="A98" s="30"/>
      <c r="B98" s="30"/>
      <c r="C98" s="30"/>
      <c r="D98" s="30"/>
      <c r="E98" s="30"/>
      <c r="F98" s="30"/>
    </row>
    <row r="99" spans="1:6" ht="15">
      <c r="A99" s="30"/>
      <c r="B99" s="30"/>
      <c r="C99" s="30"/>
      <c r="D99" s="30"/>
      <c r="E99" s="30"/>
      <c r="F99" s="30"/>
    </row>
    <row r="100" spans="1:6" ht="15">
      <c r="A100" s="30"/>
      <c r="B100" s="30"/>
      <c r="C100" s="30"/>
      <c r="D100" s="30"/>
      <c r="E100" s="30"/>
      <c r="F100" s="30"/>
    </row>
    <row r="101" spans="1:6" ht="15">
      <c r="A101" s="30"/>
      <c r="B101" s="30"/>
      <c r="C101" s="30"/>
      <c r="D101" s="30"/>
      <c r="E101" s="30"/>
      <c r="F101" s="30"/>
    </row>
    <row r="102" spans="1:6" ht="15">
      <c r="A102" s="30"/>
      <c r="B102" s="30"/>
      <c r="C102" s="30"/>
      <c r="D102" s="30"/>
      <c r="E102" s="30"/>
      <c r="F102" s="30"/>
    </row>
    <row r="103" spans="1:6" ht="15">
      <c r="A103" s="30"/>
      <c r="B103" s="30"/>
      <c r="C103" s="30"/>
      <c r="D103" s="30"/>
      <c r="E103" s="30"/>
      <c r="F103" s="30"/>
    </row>
    <row r="104" spans="1:6" ht="15">
      <c r="A104" s="30"/>
      <c r="B104" s="30"/>
      <c r="C104" s="30"/>
      <c r="D104" s="30"/>
      <c r="E104" s="30"/>
      <c r="F104" s="30"/>
    </row>
    <row r="105" spans="1:6" ht="15">
      <c r="A105" s="30"/>
      <c r="B105" s="30"/>
      <c r="C105" s="30"/>
      <c r="D105" s="30"/>
      <c r="E105" s="30"/>
      <c r="F105" s="30"/>
    </row>
    <row r="106" spans="1:6" ht="15">
      <c r="A106" s="30"/>
      <c r="B106" s="30"/>
      <c r="C106" s="30"/>
      <c r="D106" s="30"/>
      <c r="E106" s="30"/>
      <c r="F106" s="30"/>
    </row>
    <row r="107" spans="1:6" ht="15">
      <c r="A107" s="30"/>
      <c r="B107" s="30"/>
      <c r="C107" s="30"/>
      <c r="D107" s="30"/>
      <c r="E107" s="30"/>
      <c r="F107" s="30"/>
    </row>
    <row r="108" spans="1:6" ht="15">
      <c r="A108" s="30"/>
      <c r="B108" s="30"/>
      <c r="C108" s="30"/>
      <c r="D108" s="30"/>
      <c r="E108" s="30"/>
      <c r="F108" s="30"/>
    </row>
    <row r="109" spans="1:6" ht="15">
      <c r="A109" s="30"/>
      <c r="B109" s="30"/>
      <c r="C109" s="30"/>
      <c r="D109" s="30"/>
      <c r="E109" s="30"/>
      <c r="F109" s="30"/>
    </row>
    <row r="110" spans="1:6" ht="15">
      <c r="A110" s="30"/>
      <c r="B110" s="30"/>
      <c r="C110" s="30"/>
      <c r="D110" s="30"/>
      <c r="E110" s="30"/>
      <c r="F110" s="30"/>
    </row>
    <row r="111" spans="1:6" ht="15">
      <c r="A111" s="30"/>
      <c r="B111" s="30"/>
      <c r="C111" s="30"/>
      <c r="D111" s="30"/>
      <c r="E111" s="30"/>
      <c r="F111" s="30"/>
    </row>
    <row r="112" spans="1:6" ht="15">
      <c r="A112" s="30"/>
      <c r="B112" s="30"/>
      <c r="C112" s="30"/>
      <c r="D112" s="30"/>
      <c r="E112" s="30"/>
      <c r="F112" s="30"/>
    </row>
    <row r="113" spans="1:6" ht="15">
      <c r="A113" s="30"/>
      <c r="B113" s="30"/>
      <c r="C113" s="30"/>
      <c r="D113" s="30"/>
      <c r="E113" s="30"/>
      <c r="F113" s="30"/>
    </row>
    <row r="114" spans="1:6" ht="15">
      <c r="A114" s="30"/>
      <c r="B114" s="30"/>
      <c r="C114" s="30"/>
      <c r="D114" s="30"/>
      <c r="E114" s="30"/>
      <c r="F114" s="30"/>
    </row>
    <row r="115" spans="1:6" ht="15">
      <c r="A115" s="30"/>
      <c r="B115" s="30"/>
      <c r="C115" s="30"/>
      <c r="D115" s="30"/>
      <c r="E115" s="30"/>
      <c r="F115" s="30"/>
    </row>
    <row r="116" spans="1:6" ht="15">
      <c r="A116" s="30"/>
      <c r="B116" s="30"/>
      <c r="C116" s="30"/>
      <c r="D116" s="30"/>
      <c r="E116" s="30"/>
      <c r="F116" s="30"/>
    </row>
    <row r="117" spans="1:6" ht="15">
      <c r="A117" s="30"/>
      <c r="B117" s="30"/>
      <c r="C117" s="30"/>
      <c r="D117" s="30"/>
      <c r="E117" s="30"/>
      <c r="F117" s="30"/>
    </row>
    <row r="118" spans="1:6" ht="15">
      <c r="A118" s="30"/>
      <c r="B118" s="30"/>
      <c r="C118" s="30"/>
      <c r="D118" s="30"/>
      <c r="E118" s="30"/>
      <c r="F118" s="30"/>
    </row>
    <row r="119" spans="1:6" ht="15">
      <c r="A119" s="30"/>
      <c r="B119" s="30"/>
      <c r="C119" s="30"/>
      <c r="D119" s="30"/>
      <c r="E119" s="30"/>
      <c r="F119" s="30"/>
    </row>
    <row r="120" spans="1:6" ht="15">
      <c r="A120" s="30"/>
      <c r="B120" s="30"/>
      <c r="C120" s="30"/>
      <c r="D120" s="30"/>
      <c r="E120" s="30"/>
      <c r="F120" s="30"/>
    </row>
    <row r="121" spans="1:6" ht="15">
      <c r="A121" s="30"/>
      <c r="B121" s="30"/>
      <c r="C121" s="30"/>
      <c r="D121" s="30"/>
      <c r="E121" s="30"/>
      <c r="F121" s="30"/>
    </row>
    <row r="122" spans="1:6" ht="15">
      <c r="A122" s="30"/>
      <c r="B122" s="30"/>
      <c r="C122" s="30"/>
      <c r="D122" s="30"/>
      <c r="E122" s="30"/>
      <c r="F122" s="30"/>
    </row>
    <row r="123" spans="1:6" ht="15">
      <c r="A123" s="30"/>
      <c r="B123" s="30"/>
      <c r="C123" s="30"/>
      <c r="D123" s="30"/>
      <c r="E123" s="30"/>
      <c r="F123" s="30"/>
    </row>
    <row r="124" spans="1:6" ht="15">
      <c r="A124" s="30"/>
      <c r="B124" s="30"/>
      <c r="C124" s="30"/>
      <c r="D124" s="30"/>
      <c r="E124" s="30"/>
      <c r="F124" s="30"/>
    </row>
    <row r="125" spans="1:6" ht="15">
      <c r="A125" s="30"/>
      <c r="B125" s="30"/>
      <c r="C125" s="30"/>
      <c r="D125" s="30"/>
      <c r="E125" s="30"/>
      <c r="F125" s="30"/>
    </row>
    <row r="126" spans="1:6" ht="15">
      <c r="A126" s="30"/>
      <c r="B126" s="30"/>
      <c r="C126" s="30"/>
      <c r="D126" s="30"/>
      <c r="E126" s="30"/>
      <c r="F126" s="30"/>
    </row>
    <row r="127" spans="1:6" ht="15">
      <c r="A127" s="30"/>
      <c r="B127" s="30"/>
      <c r="C127" s="30"/>
      <c r="D127" s="30"/>
      <c r="E127" s="30"/>
      <c r="F127" s="30"/>
    </row>
    <row r="128" spans="1:6" ht="15">
      <c r="A128" s="30"/>
      <c r="B128" s="30"/>
      <c r="C128" s="30"/>
      <c r="D128" s="30"/>
      <c r="E128" s="30"/>
      <c r="F128" s="30"/>
    </row>
    <row r="129" spans="1:6" ht="15">
      <c r="A129" s="30"/>
      <c r="B129" s="30"/>
      <c r="C129" s="30"/>
      <c r="D129" s="30"/>
      <c r="E129" s="30"/>
      <c r="F129" s="30"/>
    </row>
    <row r="130" spans="1:6" ht="15">
      <c r="A130" s="30"/>
      <c r="B130" s="30"/>
      <c r="C130" s="30"/>
      <c r="D130" s="30"/>
      <c r="E130" s="30"/>
      <c r="F130" s="30"/>
    </row>
    <row r="131" spans="1:6" ht="15">
      <c r="A131" s="30"/>
      <c r="B131" s="30"/>
      <c r="C131" s="30"/>
      <c r="D131" s="30"/>
      <c r="E131" s="30"/>
      <c r="F131" s="30"/>
    </row>
    <row r="132" spans="1:6" ht="15">
      <c r="A132" s="30"/>
      <c r="B132" s="30"/>
      <c r="C132" s="30"/>
      <c r="D132" s="30"/>
      <c r="E132" s="30"/>
      <c r="F132" s="30"/>
    </row>
    <row r="133" spans="1:6" ht="15">
      <c r="A133" s="30"/>
      <c r="B133" s="30"/>
      <c r="C133" s="30"/>
      <c r="D133" s="30"/>
      <c r="E133" s="30"/>
      <c r="F133" s="30"/>
    </row>
    <row r="134" spans="1:6" ht="15">
      <c r="A134" s="30"/>
      <c r="B134" s="30"/>
      <c r="C134" s="30"/>
      <c r="D134" s="30"/>
      <c r="E134" s="30"/>
      <c r="F134" s="30"/>
    </row>
    <row r="135" spans="1:6" ht="15">
      <c r="A135" s="30"/>
      <c r="B135" s="30"/>
      <c r="C135" s="30"/>
      <c r="D135" s="30"/>
      <c r="E135" s="30"/>
      <c r="F135" s="30"/>
    </row>
    <row r="136" spans="1:6" ht="15">
      <c r="A136" s="30"/>
      <c r="B136" s="30"/>
      <c r="C136" s="30"/>
      <c r="D136" s="30"/>
      <c r="E136" s="30"/>
      <c r="F136" s="30"/>
    </row>
  </sheetData>
  <mergeCells count="1">
    <mergeCell ref="B8:D8"/>
  </mergeCells>
  <printOptions/>
  <pageMargins left="0.7" right="0.7" top="0.75" bottom="0.75" header="0.3" footer="0.3"/>
  <pageSetup horizontalDpi="600" verticalDpi="60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topLeftCell="A1"/>
  </sheetViews>
  <sheetFormatPr defaultColWidth="11.00390625" defaultRowHeight="15.75"/>
  <cols>
    <col min="1" max="1" width="19.875" style="0" bestFit="1" customWidth="1"/>
  </cols>
  <sheetData>
    <row r="1" ht="15.75">
      <c r="A1" s="1" t="s">
        <v>274</v>
      </c>
    </row>
    <row r="2" ht="15.75">
      <c r="A2" s="5" t="s">
        <v>284</v>
      </c>
    </row>
    <row r="3" ht="15.75">
      <c r="A3" s="5"/>
    </row>
    <row r="4" spans="3:6" ht="15.75">
      <c r="C4" s="64" t="s">
        <v>280</v>
      </c>
      <c r="D4" s="64"/>
      <c r="E4" s="64" t="s">
        <v>281</v>
      </c>
      <c r="F4" s="64"/>
    </row>
    <row r="5" spans="2:6" ht="15.75">
      <c r="B5" s="4" t="s">
        <v>276</v>
      </c>
      <c r="C5" s="4" t="s">
        <v>278</v>
      </c>
      <c r="D5" s="4" t="s">
        <v>279</v>
      </c>
      <c r="E5" s="4" t="s">
        <v>282</v>
      </c>
      <c r="F5" s="4" t="s">
        <v>283</v>
      </c>
    </row>
    <row r="6" spans="1:8" ht="15.75">
      <c r="A6" t="s">
        <v>275</v>
      </c>
      <c r="B6">
        <v>0.607</v>
      </c>
      <c r="C6">
        <v>0.738</v>
      </c>
      <c r="D6" s="45">
        <v>43862</v>
      </c>
      <c r="E6" s="25">
        <f>LN(B6/C6)</f>
        <v>-0.19541503354097425</v>
      </c>
      <c r="F6" s="46">
        <f>EXP(E6)-1</f>
        <v>-0.1775067750677507</v>
      </c>
      <c r="G6" s="54">
        <f>F6*Table1!$C$7</f>
        <v>-28.18079810298103</v>
      </c>
      <c r="H6" t="s">
        <v>748</v>
      </c>
    </row>
    <row r="7" spans="1:6" ht="15.75">
      <c r="A7" t="s">
        <v>285</v>
      </c>
      <c r="B7">
        <v>33.8</v>
      </c>
      <c r="C7">
        <v>38.5</v>
      </c>
      <c r="D7" s="45">
        <v>43862</v>
      </c>
      <c r="E7" s="25">
        <f>LN(B7/C7)</f>
        <v>-0.13019743880476548</v>
      </c>
      <c r="F7" s="46">
        <f>EXP(E7)-1</f>
        <v>-0.12207792207792212</v>
      </c>
    </row>
    <row r="8" spans="1:6" ht="15.75">
      <c r="A8" t="s">
        <v>286</v>
      </c>
      <c r="B8">
        <v>20.4</v>
      </c>
      <c r="C8">
        <v>28.2</v>
      </c>
      <c r="D8" s="45">
        <v>43862</v>
      </c>
      <c r="E8" s="25">
        <f>LN(B8/C8)</f>
        <v>-0.3237870770938973</v>
      </c>
      <c r="F8" s="46">
        <f>EXP(E8)-1</f>
        <v>-0.27659574468085113</v>
      </c>
    </row>
    <row r="9" spans="1:4" ht="15.75">
      <c r="A9" t="s">
        <v>288</v>
      </c>
      <c r="B9">
        <v>0.627</v>
      </c>
      <c r="C9">
        <v>0.1</v>
      </c>
      <c r="D9" s="26" t="s">
        <v>287</v>
      </c>
    </row>
    <row r="10" spans="1:3" ht="15.75">
      <c r="A10" t="s">
        <v>289</v>
      </c>
      <c r="B10" s="47">
        <f>B9*B6</f>
        <v>0.380589</v>
      </c>
      <c r="C10" s="47">
        <f>C9*C6</f>
        <v>0.0738</v>
      </c>
    </row>
    <row r="11" ht="15.75">
      <c r="A11" t="s">
        <v>290</v>
      </c>
    </row>
    <row r="12" spans="1:7" ht="15.75">
      <c r="A12" s="2" t="s">
        <v>300</v>
      </c>
      <c r="B12" s="47">
        <f>(B10-C10)/B6</f>
        <v>0.5054184514003295</v>
      </c>
      <c r="G12" t="s">
        <v>291</v>
      </c>
    </row>
    <row r="13" spans="1:7" ht="15.75">
      <c r="A13" s="2" t="s">
        <v>301</v>
      </c>
      <c r="B13" s="47">
        <f>AVERAGE(B12,B14)</f>
        <v>0.5162092257001647</v>
      </c>
      <c r="G13" t="s">
        <v>299</v>
      </c>
    </row>
    <row r="14" spans="1:7" ht="15.75">
      <c r="A14" s="2" t="s">
        <v>302</v>
      </c>
      <c r="B14">
        <f>(B10-(B6*C10/C6))/$B$6</f>
        <v>0.527</v>
      </c>
      <c r="G14" t="s">
        <v>292</v>
      </c>
    </row>
    <row r="15" spans="1:7" ht="15.75">
      <c r="A15" s="2" t="s">
        <v>303</v>
      </c>
      <c r="B15" s="47">
        <f>B9</f>
        <v>0.627</v>
      </c>
      <c r="G15" t="s">
        <v>293</v>
      </c>
    </row>
    <row r="16" spans="1:2" ht="15.75">
      <c r="A16" s="9" t="s">
        <v>304</v>
      </c>
      <c r="B16" s="47"/>
    </row>
    <row r="17" spans="1:2" ht="15.75">
      <c r="A17" s="2" t="s">
        <v>300</v>
      </c>
      <c r="B17" s="47">
        <f>(B12*$B$6+($C$6-$B$6))/$C$6</f>
        <v>0.593210027100271</v>
      </c>
    </row>
    <row r="18" spans="1:2" ht="15.75">
      <c r="A18" s="2" t="s">
        <v>301</v>
      </c>
      <c r="B18" s="47">
        <f>(B13*$B$6+($C$6-$B$6))/$C$6</f>
        <v>0.6020853658536586</v>
      </c>
    </row>
    <row r="19" spans="1:2" ht="15.75">
      <c r="A19" s="2" t="s">
        <v>302</v>
      </c>
      <c r="B19" s="47">
        <f>(B14*$B$6+($C$6-$B$6))/$C$6</f>
        <v>0.6109607046070461</v>
      </c>
    </row>
    <row r="20" spans="1:6" ht="15.75">
      <c r="A20" s="9" t="s">
        <v>305</v>
      </c>
      <c r="B20" s="47">
        <f>1-$B$18/2</f>
        <v>0.6989573170731707</v>
      </c>
      <c r="C20">
        <v>1</v>
      </c>
      <c r="E20" s="25">
        <f>LN(B20/C20)</f>
        <v>-0.3581656014551262</v>
      </c>
      <c r="F20" s="46">
        <f>EXP(E20)-1</f>
        <v>-0.30104268292682934</v>
      </c>
    </row>
    <row r="21" spans="1:6" ht="15.75">
      <c r="A21" s="9" t="s">
        <v>306</v>
      </c>
      <c r="B21" s="25">
        <f>(B20^0.3)*(B8^0.7)</f>
        <v>7.414405152288085</v>
      </c>
      <c r="C21" s="25">
        <f>(C20^0.3)*(C8^0.7)</f>
        <v>10.355578754154273</v>
      </c>
      <c r="E21" s="25">
        <f>LN(B21/C21)</f>
        <v>-0.3341006344022659</v>
      </c>
      <c r="F21" s="46">
        <f>EXP(E21)-1</f>
        <v>-0.2840182737914382</v>
      </c>
    </row>
    <row r="23" spans="2:4" ht="15.75">
      <c r="B23" s="64" t="s">
        <v>277</v>
      </c>
      <c r="C23" s="64"/>
      <c r="D23" s="64"/>
    </row>
    <row r="24" spans="1:5" ht="15.75">
      <c r="A24" t="s">
        <v>294</v>
      </c>
      <c r="B24" s="4" t="s">
        <v>295</v>
      </c>
      <c r="C24" s="4" t="s">
        <v>296</v>
      </c>
      <c r="D24" s="4" t="s">
        <v>298</v>
      </c>
      <c r="E24" s="3" t="s">
        <v>290</v>
      </c>
    </row>
    <row r="25" spans="1:5" ht="15.75">
      <c r="A25" t="s">
        <v>295</v>
      </c>
      <c r="B25" s="47">
        <f>B28</f>
        <v>0.0738</v>
      </c>
      <c r="C25" s="47">
        <f>D25-B25</f>
        <v>0.306789</v>
      </c>
      <c r="D25" s="47">
        <f>$B$10</f>
        <v>0.380589</v>
      </c>
      <c r="E25" s="47">
        <f>C25/$B$6</f>
        <v>0.5054184514003295</v>
      </c>
    </row>
    <row r="26" spans="1:4" ht="15.75">
      <c r="A26" t="s">
        <v>296</v>
      </c>
      <c r="B26">
        <v>0</v>
      </c>
      <c r="C26" s="47">
        <f>D26-B26</f>
        <v>0.22641099999999997</v>
      </c>
      <c r="D26" s="47">
        <f>$B$6-$B$10</f>
        <v>0.22641099999999997</v>
      </c>
    </row>
    <row r="27" spans="1:4" ht="15.75">
      <c r="A27" t="s">
        <v>297</v>
      </c>
      <c r="B27">
        <v>0</v>
      </c>
      <c r="C27" s="47">
        <f>D27-B27</f>
        <v>0.131</v>
      </c>
      <c r="D27">
        <f>D28-$B$6</f>
        <v>0.131</v>
      </c>
    </row>
    <row r="28" spans="1:4" ht="15.75">
      <c r="A28" t="s">
        <v>298</v>
      </c>
      <c r="B28" s="47">
        <f>$C$10</f>
        <v>0.0738</v>
      </c>
      <c r="C28" s="47">
        <f>D28-B28</f>
        <v>0.6642</v>
      </c>
      <c r="D28">
        <f>$C$6</f>
        <v>0.738</v>
      </c>
    </row>
    <row r="30" spans="2:4" ht="15.75">
      <c r="B30" s="64" t="s">
        <v>277</v>
      </c>
      <c r="C30" s="64"/>
      <c r="D30" s="64"/>
    </row>
    <row r="31" spans="1:4" ht="15.75">
      <c r="A31" t="s">
        <v>294</v>
      </c>
      <c r="B31" s="4" t="s">
        <v>295</v>
      </c>
      <c r="C31" s="4" t="s">
        <v>296</v>
      </c>
      <c r="D31" s="4" t="s">
        <v>298</v>
      </c>
    </row>
    <row r="32" spans="1:5" ht="15.75">
      <c r="A32" t="s">
        <v>295</v>
      </c>
      <c r="B32" s="47">
        <f>B35-SUM(B33:B34)</f>
        <v>0.060700000000000004</v>
      </c>
      <c r="C32" s="47">
        <f>D32-B32</f>
        <v>0.319889</v>
      </c>
      <c r="D32" s="47">
        <f>$B$10</f>
        <v>0.380589</v>
      </c>
      <c r="E32" s="47">
        <f>C32/$B$6</f>
        <v>0.527</v>
      </c>
    </row>
    <row r="33" spans="1:4" ht="15.75">
      <c r="A33" t="s">
        <v>296</v>
      </c>
      <c r="B33">
        <v>0</v>
      </c>
      <c r="C33" s="47">
        <f>D33-B33</f>
        <v>0.22641099999999997</v>
      </c>
      <c r="D33" s="47">
        <f>$B$6-$B$10</f>
        <v>0.22641099999999997</v>
      </c>
    </row>
    <row r="34" spans="1:4" ht="15.75">
      <c r="A34" t="s">
        <v>297</v>
      </c>
      <c r="B34" s="47">
        <f>$D34*B$35/$D$35</f>
        <v>0.0131</v>
      </c>
      <c r="C34" s="47">
        <f>D34-B34</f>
        <v>0.1179</v>
      </c>
      <c r="D34">
        <f>D35-$B$6</f>
        <v>0.131</v>
      </c>
    </row>
    <row r="35" spans="1:4" ht="15.75">
      <c r="A35" t="s">
        <v>298</v>
      </c>
      <c r="B35" s="47">
        <f>$C$10</f>
        <v>0.0738</v>
      </c>
      <c r="C35" s="47">
        <f>D35-B35</f>
        <v>0.6642</v>
      </c>
      <c r="D35">
        <f>$C$6</f>
        <v>0.738</v>
      </c>
    </row>
    <row r="37" spans="2:4" ht="15.75">
      <c r="B37" s="64" t="s">
        <v>277</v>
      </c>
      <c r="C37" s="64"/>
      <c r="D37" s="64"/>
    </row>
    <row r="38" spans="1:4" ht="15.75">
      <c r="A38" t="s">
        <v>294</v>
      </c>
      <c r="B38" s="4" t="s">
        <v>295</v>
      </c>
      <c r="C38" s="4" t="s">
        <v>296</v>
      </c>
      <c r="D38" s="4" t="s">
        <v>298</v>
      </c>
    </row>
    <row r="39" spans="1:6" ht="15.75">
      <c r="A39" t="s">
        <v>295</v>
      </c>
      <c r="B39">
        <v>0</v>
      </c>
      <c r="C39" s="47">
        <f>D39-B39</f>
        <v>0.380589</v>
      </c>
      <c r="D39" s="47">
        <f>$B$10</f>
        <v>0.380589</v>
      </c>
      <c r="E39" s="47">
        <f>C39/$B$6</f>
        <v>0.627</v>
      </c>
      <c r="F39" s="47"/>
    </row>
    <row r="40" spans="1:4" ht="15.75">
      <c r="A40" t="s">
        <v>296</v>
      </c>
      <c r="B40">
        <v>0</v>
      </c>
      <c r="C40" s="47">
        <f>D40-B40</f>
        <v>0.22641099999999997</v>
      </c>
      <c r="D40" s="47">
        <f>$B$6-$B$10</f>
        <v>0.22641099999999997</v>
      </c>
    </row>
    <row r="41" spans="1:4" ht="15.75">
      <c r="A41" t="s">
        <v>297</v>
      </c>
      <c r="B41" s="47">
        <f>B42</f>
        <v>0.0738</v>
      </c>
      <c r="C41" s="47">
        <f>D41-B41</f>
        <v>0.0572</v>
      </c>
      <c r="D41">
        <f>D42-$B$6</f>
        <v>0.131</v>
      </c>
    </row>
    <row r="42" spans="1:4" ht="15.75">
      <c r="A42" t="s">
        <v>298</v>
      </c>
      <c r="B42" s="47">
        <f>$C$10</f>
        <v>0.0738</v>
      </c>
      <c r="C42" s="47">
        <f>D42-B42</f>
        <v>0.6642</v>
      </c>
      <c r="D42">
        <f>$C$6</f>
        <v>0.738</v>
      </c>
    </row>
  </sheetData>
  <mergeCells count="5">
    <mergeCell ref="C4:D4"/>
    <mergeCell ref="E4:F4"/>
    <mergeCell ref="B23:D23"/>
    <mergeCell ref="B30:D30"/>
    <mergeCell ref="B37:D37"/>
  </mergeCells>
  <hyperlinks>
    <hyperlink ref="A2" r:id="rId1" display="https://alexbick.weebly.com/uploads/1/0/1/3/101306056/bb_covid.pdf"/>
  </hyperlink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0"/>
  <sheetViews>
    <sheetView workbookViewId="0" topLeftCell="A1">
      <pane ySplit="3" topLeftCell="A4" activePane="bottomLeft" state="frozen"/>
      <selection pane="bottomLeft" activeCell="A4" sqref="A4"/>
    </sheetView>
  </sheetViews>
  <sheetFormatPr defaultColWidth="8.875" defaultRowHeight="15.75"/>
  <cols>
    <col min="1" max="1" width="4.875" style="20" customWidth="1"/>
    <col min="2" max="2" width="36.00390625" style="20" customWidth="1"/>
    <col min="3" max="3" width="10.875" style="20" customWidth="1"/>
    <col min="4" max="4" width="8.875" style="20" customWidth="1"/>
    <col min="5" max="5" width="10.875" style="20" customWidth="1"/>
    <col min="6" max="6" width="36.00390625" style="20" customWidth="1"/>
    <col min="7" max="16384" width="8.875" style="20" customWidth="1"/>
  </cols>
  <sheetData>
    <row r="1" ht="15">
      <c r="A1" s="19" t="s">
        <v>767</v>
      </c>
    </row>
    <row r="3" spans="1:8" ht="30">
      <c r="A3" s="22" t="s">
        <v>29</v>
      </c>
      <c r="B3" s="21" t="s">
        <v>30</v>
      </c>
      <c r="C3" s="21" t="s">
        <v>31</v>
      </c>
      <c r="D3" s="23" t="s">
        <v>32</v>
      </c>
      <c r="E3" s="23" t="s">
        <v>33</v>
      </c>
      <c r="F3" s="21" t="s">
        <v>34</v>
      </c>
      <c r="G3" s="21" t="s">
        <v>35</v>
      </c>
      <c r="H3" s="21" t="s">
        <v>10</v>
      </c>
    </row>
    <row r="4" spans="1:14" ht="15">
      <c r="A4" s="24">
        <v>1</v>
      </c>
      <c r="B4" s="24" t="s">
        <v>741</v>
      </c>
      <c r="C4" s="24" t="s">
        <v>375</v>
      </c>
      <c r="D4" s="24">
        <v>-19</v>
      </c>
      <c r="E4" s="24"/>
      <c r="F4" s="24" t="s">
        <v>740</v>
      </c>
      <c r="G4" s="24" t="s">
        <v>227</v>
      </c>
      <c r="H4" s="24"/>
      <c r="I4" s="24"/>
      <c r="J4" s="24"/>
      <c r="K4" s="24"/>
      <c r="L4" s="24"/>
      <c r="M4" s="24"/>
      <c r="N4" s="24"/>
    </row>
    <row r="5" spans="1:14" ht="15">
      <c r="A5" s="24">
        <v>2</v>
      </c>
      <c r="B5" s="24" t="s">
        <v>36</v>
      </c>
      <c r="C5" s="48" t="s">
        <v>749</v>
      </c>
      <c r="D5" s="24">
        <v>60</v>
      </c>
      <c r="E5" s="51">
        <f>E68</f>
        <v>-0.6335638063454974</v>
      </c>
      <c r="F5" s="24" t="s">
        <v>37</v>
      </c>
      <c r="G5" s="24" t="s">
        <v>227</v>
      </c>
      <c r="H5" s="24"/>
      <c r="I5" s="24"/>
      <c r="J5" s="24"/>
      <c r="K5" s="24"/>
      <c r="L5" s="24"/>
      <c r="M5" s="24"/>
      <c r="N5" s="24"/>
    </row>
    <row r="6" spans="1:14" ht="15">
      <c r="A6" s="24">
        <v>3</v>
      </c>
      <c r="B6" s="24" t="s">
        <v>38</v>
      </c>
      <c r="C6" s="24" t="s">
        <v>39</v>
      </c>
      <c r="D6" s="24">
        <v>2020</v>
      </c>
      <c r="E6" s="24"/>
      <c r="F6" s="24" t="s">
        <v>40</v>
      </c>
      <c r="G6" s="24" t="s">
        <v>227</v>
      </c>
      <c r="H6" s="24"/>
      <c r="I6" s="24"/>
      <c r="J6" s="24"/>
      <c r="K6" s="24"/>
      <c r="L6" s="24"/>
      <c r="M6" s="24"/>
      <c r="N6" s="24"/>
    </row>
    <row r="7" spans="1:14" ht="15">
      <c r="A7" s="24">
        <v>4</v>
      </c>
      <c r="B7" s="24" t="s">
        <v>41</v>
      </c>
      <c r="C7" s="24" t="s">
        <v>42</v>
      </c>
      <c r="D7" s="24">
        <v>2</v>
      </c>
      <c r="E7" s="24"/>
      <c r="F7" s="24" t="s">
        <v>43</v>
      </c>
      <c r="G7" s="24" t="s">
        <v>227</v>
      </c>
      <c r="H7" s="24"/>
      <c r="I7" s="24"/>
      <c r="J7" s="24"/>
      <c r="K7" s="24"/>
      <c r="L7" s="24"/>
      <c r="M7" s="24"/>
      <c r="N7" s="24"/>
    </row>
    <row r="8" spans="1:14" ht="15">
      <c r="A8" s="24">
        <v>5</v>
      </c>
      <c r="B8" s="24" t="s">
        <v>739</v>
      </c>
      <c r="C8" s="24" t="s">
        <v>84</v>
      </c>
      <c r="D8" s="24">
        <v>1</v>
      </c>
      <c r="E8" s="24"/>
      <c r="F8" s="24" t="s">
        <v>738</v>
      </c>
      <c r="G8" s="24" t="s">
        <v>227</v>
      </c>
      <c r="H8" s="24"/>
      <c r="I8" s="24"/>
      <c r="J8" s="24"/>
      <c r="K8" s="24"/>
      <c r="L8" s="24"/>
      <c r="M8" s="24"/>
      <c r="N8" s="24"/>
    </row>
    <row r="9" spans="1:14" ht="15">
      <c r="A9" s="24">
        <v>6</v>
      </c>
      <c r="B9" s="24" t="s">
        <v>44</v>
      </c>
      <c r="C9" s="24" t="s">
        <v>45</v>
      </c>
      <c r="D9" s="24">
        <v>0.25</v>
      </c>
      <c r="E9" s="24"/>
      <c r="F9" s="24" t="s">
        <v>46</v>
      </c>
      <c r="G9" s="24" t="s">
        <v>227</v>
      </c>
      <c r="H9" s="24"/>
      <c r="I9" s="24"/>
      <c r="J9" s="24"/>
      <c r="K9" s="24"/>
      <c r="L9" s="24"/>
      <c r="M9" s="24"/>
      <c r="N9" s="24"/>
    </row>
    <row r="10" spans="1:14" ht="15">
      <c r="A10" s="24">
        <v>7</v>
      </c>
      <c r="B10" s="24" t="s">
        <v>737</v>
      </c>
      <c r="C10" s="24" t="s">
        <v>84</v>
      </c>
      <c r="D10" s="24">
        <v>1</v>
      </c>
      <c r="E10" s="24"/>
      <c r="F10" s="24" t="s">
        <v>736</v>
      </c>
      <c r="G10" s="24" t="s">
        <v>227</v>
      </c>
      <c r="H10" s="24"/>
      <c r="I10" s="24"/>
      <c r="J10" s="24"/>
      <c r="K10" s="24"/>
      <c r="L10" s="24"/>
      <c r="M10" s="24"/>
      <c r="N10" s="24"/>
    </row>
    <row r="11" spans="1:14" ht="15">
      <c r="A11" s="24">
        <v>8</v>
      </c>
      <c r="B11" s="24" t="s">
        <v>47</v>
      </c>
      <c r="C11" s="24" t="s">
        <v>735</v>
      </c>
      <c r="D11" s="24">
        <v>15000</v>
      </c>
      <c r="E11" s="55">
        <f>Table1!F17</f>
        <v>-14554.778084075135</v>
      </c>
      <c r="F11" s="24" t="s">
        <v>48</v>
      </c>
      <c r="G11" s="24" t="s">
        <v>227</v>
      </c>
      <c r="H11" s="24"/>
      <c r="I11" s="24"/>
      <c r="J11" s="24"/>
      <c r="K11" s="24"/>
      <c r="L11" s="24"/>
      <c r="M11" s="24"/>
      <c r="N11" s="24"/>
    </row>
    <row r="12" spans="1:14" ht="15">
      <c r="A12" s="24">
        <v>9</v>
      </c>
      <c r="B12" s="24" t="s">
        <v>734</v>
      </c>
      <c r="C12" s="24" t="s">
        <v>45</v>
      </c>
      <c r="D12" s="24">
        <v>0.25</v>
      </c>
      <c r="E12" s="24"/>
      <c r="F12" s="24" t="s">
        <v>49</v>
      </c>
      <c r="G12" s="24" t="s">
        <v>227</v>
      </c>
      <c r="H12" s="24"/>
      <c r="I12" s="24"/>
      <c r="J12" s="24"/>
      <c r="K12" s="24"/>
      <c r="L12" s="24"/>
      <c r="M12" s="24"/>
      <c r="N12" s="24"/>
    </row>
    <row r="13" spans="1:14" ht="15">
      <c r="A13" s="24">
        <v>10</v>
      </c>
      <c r="B13" s="24" t="s">
        <v>733</v>
      </c>
      <c r="C13" s="24" t="s">
        <v>323</v>
      </c>
      <c r="D13" s="24">
        <v>10</v>
      </c>
      <c r="E13" s="24"/>
      <c r="F13" s="24" t="s">
        <v>732</v>
      </c>
      <c r="G13" s="24" t="s">
        <v>227</v>
      </c>
      <c r="H13" s="24"/>
      <c r="I13" s="24"/>
      <c r="J13" s="24"/>
      <c r="K13" s="24"/>
      <c r="L13" s="24"/>
      <c r="M13" s="24"/>
      <c r="N13" s="24"/>
    </row>
    <row r="14" spans="1:14" ht="15">
      <c r="A14" s="24">
        <v>11</v>
      </c>
      <c r="B14" s="24" t="s">
        <v>731</v>
      </c>
      <c r="C14" s="24" t="s">
        <v>730</v>
      </c>
      <c r="D14" s="24">
        <v>-19</v>
      </c>
      <c r="E14" s="24"/>
      <c r="F14" s="24"/>
      <c r="G14" s="24" t="s">
        <v>227</v>
      </c>
      <c r="H14" s="24"/>
      <c r="I14" s="24"/>
      <c r="J14" s="24"/>
      <c r="K14" s="24"/>
      <c r="L14" s="24"/>
      <c r="M14" s="24"/>
      <c r="N14" s="24"/>
    </row>
    <row r="15" spans="1:14" ht="15">
      <c r="A15" s="24">
        <v>12</v>
      </c>
      <c r="B15" s="24" t="s">
        <v>729</v>
      </c>
      <c r="C15" s="24" t="s">
        <v>84</v>
      </c>
      <c r="D15" s="24">
        <v>1</v>
      </c>
      <c r="E15" s="24"/>
      <c r="F15" s="24" t="s">
        <v>728</v>
      </c>
      <c r="G15" s="24" t="s">
        <v>227</v>
      </c>
      <c r="H15" s="24"/>
      <c r="I15" s="24"/>
      <c r="J15" s="24"/>
      <c r="K15" s="24"/>
      <c r="L15" s="24"/>
      <c r="M15" s="24"/>
      <c r="N15" s="24"/>
    </row>
    <row r="16" spans="1:14" ht="15">
      <c r="A16" s="24">
        <v>13</v>
      </c>
      <c r="B16" s="24"/>
      <c r="C16" s="24" t="s">
        <v>727</v>
      </c>
      <c r="D16" s="24">
        <v>3</v>
      </c>
      <c r="E16" s="24"/>
      <c r="F16" s="24" t="s">
        <v>726</v>
      </c>
      <c r="G16" s="24" t="s">
        <v>227</v>
      </c>
      <c r="H16" s="24"/>
      <c r="I16" s="24"/>
      <c r="J16" s="24"/>
      <c r="K16" s="24"/>
      <c r="L16" s="24"/>
      <c r="M16" s="24"/>
      <c r="N16" s="24"/>
    </row>
    <row r="17" spans="1:14" ht="15">
      <c r="A17" s="24">
        <v>14</v>
      </c>
      <c r="B17" s="24" t="s">
        <v>725</v>
      </c>
      <c r="C17" s="24" t="s">
        <v>84</v>
      </c>
      <c r="D17" s="24">
        <v>1</v>
      </c>
      <c r="E17" s="24"/>
      <c r="F17" s="24" t="s">
        <v>724</v>
      </c>
      <c r="G17" s="24" t="s">
        <v>227</v>
      </c>
      <c r="H17" s="24"/>
      <c r="I17" s="24"/>
      <c r="J17" s="24"/>
      <c r="K17" s="24"/>
      <c r="L17" s="24"/>
      <c r="M17" s="24"/>
      <c r="N17" s="24"/>
    </row>
    <row r="18" spans="1:14" ht="15">
      <c r="A18" s="24">
        <v>15</v>
      </c>
      <c r="B18" s="24" t="s">
        <v>723</v>
      </c>
      <c r="C18" s="24" t="s">
        <v>71</v>
      </c>
      <c r="D18" s="24">
        <v>25</v>
      </c>
      <c r="E18" s="24">
        <f>E46</f>
        <v>25.1</v>
      </c>
      <c r="F18" s="24" t="s">
        <v>722</v>
      </c>
      <c r="G18" s="24" t="s">
        <v>227</v>
      </c>
      <c r="H18" s="24"/>
      <c r="I18" s="24"/>
      <c r="J18" s="24"/>
      <c r="K18" s="24"/>
      <c r="L18" s="24"/>
      <c r="M18" s="24"/>
      <c r="N18" s="24"/>
    </row>
    <row r="19" spans="1:14" ht="15">
      <c r="A19" s="24">
        <v>16</v>
      </c>
      <c r="B19" s="24" t="s">
        <v>721</v>
      </c>
      <c r="C19" s="24" t="s">
        <v>720</v>
      </c>
      <c r="D19" s="24">
        <v>-28</v>
      </c>
      <c r="E19" s="51">
        <f>E84</f>
        <v>-0.27659574468085113</v>
      </c>
      <c r="F19" s="24" t="s">
        <v>719</v>
      </c>
      <c r="G19" s="24" t="s">
        <v>227</v>
      </c>
      <c r="H19" s="24"/>
      <c r="I19" s="24"/>
      <c r="J19" s="24"/>
      <c r="K19" s="24"/>
      <c r="L19" s="24"/>
      <c r="M19" s="24"/>
      <c r="N19" s="24"/>
    </row>
    <row r="20" spans="1:14" ht="15">
      <c r="A20" s="24">
        <v>17</v>
      </c>
      <c r="B20" s="24" t="s">
        <v>718</v>
      </c>
      <c r="C20" s="24" t="s">
        <v>39</v>
      </c>
      <c r="D20" s="24">
        <v>2020</v>
      </c>
      <c r="E20" s="24"/>
      <c r="F20" s="24" t="s">
        <v>717</v>
      </c>
      <c r="G20" s="24" t="s">
        <v>227</v>
      </c>
      <c r="H20" s="24"/>
      <c r="I20" s="24"/>
      <c r="J20" s="24"/>
      <c r="K20" s="24"/>
      <c r="L20" s="24"/>
      <c r="M20" s="24"/>
      <c r="N20" s="24"/>
    </row>
    <row r="21" spans="1:14" ht="15">
      <c r="A21" s="24">
        <v>18</v>
      </c>
      <c r="B21" s="24" t="s">
        <v>716</v>
      </c>
      <c r="C21" s="24" t="s">
        <v>77</v>
      </c>
      <c r="D21" s="24">
        <v>1</v>
      </c>
      <c r="E21" s="24"/>
      <c r="F21" s="24" t="s">
        <v>715</v>
      </c>
      <c r="G21" s="24" t="s">
        <v>227</v>
      </c>
      <c r="H21" s="24"/>
      <c r="I21" s="24"/>
      <c r="J21" s="24"/>
      <c r="K21" s="24"/>
      <c r="L21" s="24"/>
      <c r="M21" s="24"/>
      <c r="N21" s="24"/>
    </row>
    <row r="22" spans="1:14" ht="15">
      <c r="A22" s="24">
        <v>19</v>
      </c>
      <c r="B22" s="24" t="s">
        <v>714</v>
      </c>
      <c r="C22" s="24" t="s">
        <v>713</v>
      </c>
      <c r="D22" s="24">
        <v>2020</v>
      </c>
      <c r="E22" s="24"/>
      <c r="F22" s="24"/>
      <c r="G22" s="24" t="s">
        <v>227</v>
      </c>
      <c r="H22" s="24"/>
      <c r="I22" s="24"/>
      <c r="J22" s="24"/>
      <c r="K22" s="24"/>
      <c r="L22" s="24"/>
      <c r="M22" s="24"/>
      <c r="N22" s="24"/>
    </row>
    <row r="23" spans="1:14" ht="15">
      <c r="A23" s="24">
        <v>20</v>
      </c>
      <c r="B23" s="24" t="s">
        <v>712</v>
      </c>
      <c r="C23" s="24" t="s">
        <v>139</v>
      </c>
      <c r="D23" s="24">
        <v>2</v>
      </c>
      <c r="E23" s="24"/>
      <c r="F23" s="24" t="s">
        <v>711</v>
      </c>
      <c r="G23" s="24" t="s">
        <v>227</v>
      </c>
      <c r="H23" s="24"/>
      <c r="I23" s="24"/>
      <c r="J23" s="24"/>
      <c r="K23" s="24"/>
      <c r="L23" s="24"/>
      <c r="M23" s="24"/>
      <c r="N23" s="24"/>
    </row>
    <row r="24" spans="1:14" ht="15">
      <c r="A24" s="24">
        <v>21</v>
      </c>
      <c r="B24" s="24" t="s">
        <v>710</v>
      </c>
      <c r="C24" s="24" t="s">
        <v>86</v>
      </c>
      <c r="D24" s="24">
        <v>8</v>
      </c>
      <c r="E24" s="24"/>
      <c r="F24" s="24" t="s">
        <v>709</v>
      </c>
      <c r="G24" s="24" t="s">
        <v>227</v>
      </c>
      <c r="H24" s="24"/>
      <c r="I24" s="24"/>
      <c r="J24" s="24"/>
      <c r="K24" s="24"/>
      <c r="L24" s="24"/>
      <c r="M24" s="24"/>
      <c r="N24" s="24"/>
    </row>
    <row r="25" spans="1:14" ht="15">
      <c r="A25" s="24">
        <v>22</v>
      </c>
      <c r="B25" s="24" t="s">
        <v>708</v>
      </c>
      <c r="C25" s="24" t="s">
        <v>42</v>
      </c>
      <c r="D25" s="24">
        <v>2</v>
      </c>
      <c r="E25" s="57">
        <f>Table1!G7/1000</f>
        <v>-1.951</v>
      </c>
      <c r="F25" s="24" t="s">
        <v>707</v>
      </c>
      <c r="G25" s="24" t="s">
        <v>227</v>
      </c>
      <c r="H25" s="24"/>
      <c r="I25" s="24"/>
      <c r="J25" s="24"/>
      <c r="K25" s="24"/>
      <c r="L25" s="24"/>
      <c r="M25" s="24"/>
      <c r="N25" s="24"/>
    </row>
    <row r="26" spans="1:14" ht="15">
      <c r="A26" s="24">
        <v>23</v>
      </c>
      <c r="B26" s="24" t="s">
        <v>706</v>
      </c>
      <c r="C26" s="24" t="s">
        <v>705</v>
      </c>
      <c r="D26" s="24">
        <v>70</v>
      </c>
      <c r="E26" s="6">
        <f>76.84-(46.33/12)</f>
        <v>72.97916666666667</v>
      </c>
      <c r="F26" s="24" t="s">
        <v>704</v>
      </c>
      <c r="G26" s="24" t="s">
        <v>227</v>
      </c>
      <c r="H26" t="s">
        <v>750</v>
      </c>
      <c r="I26" s="24"/>
      <c r="J26" s="24"/>
      <c r="K26" s="24"/>
      <c r="L26" s="24"/>
      <c r="M26" s="24"/>
      <c r="N26" s="24"/>
    </row>
    <row r="27" spans="1:14" ht="15">
      <c r="A27" s="24">
        <v>24</v>
      </c>
      <c r="B27" s="24" t="s">
        <v>703</v>
      </c>
      <c r="C27" s="24" t="s">
        <v>323</v>
      </c>
      <c r="D27" s="24">
        <v>10</v>
      </c>
      <c r="E27" s="24"/>
      <c r="F27" s="24" t="s">
        <v>702</v>
      </c>
      <c r="G27" s="24" t="s">
        <v>227</v>
      </c>
      <c r="H27" s="24"/>
      <c r="I27" s="24"/>
      <c r="J27" s="24"/>
      <c r="K27" s="24"/>
      <c r="L27" s="24"/>
      <c r="M27" s="24"/>
      <c r="N27" s="24"/>
    </row>
    <row r="28" spans="1:14" ht="15">
      <c r="A28" s="24">
        <v>25</v>
      </c>
      <c r="B28" s="24" t="s">
        <v>701</v>
      </c>
      <c r="C28" s="24" t="s">
        <v>84</v>
      </c>
      <c r="D28" s="24">
        <v>1</v>
      </c>
      <c r="E28" s="24"/>
      <c r="F28" s="24" t="s">
        <v>700</v>
      </c>
      <c r="G28" s="24" t="s">
        <v>227</v>
      </c>
      <c r="H28" s="24"/>
      <c r="I28" s="24"/>
      <c r="J28" s="24"/>
      <c r="K28" s="24"/>
      <c r="L28" s="24"/>
      <c r="M28" s="24"/>
      <c r="N28" s="24"/>
    </row>
    <row r="29" spans="1:14" ht="15">
      <c r="A29" s="24">
        <v>26</v>
      </c>
      <c r="B29" s="24" t="s">
        <v>699</v>
      </c>
      <c r="C29" s="24" t="s">
        <v>698</v>
      </c>
      <c r="D29" s="24">
        <v>6</v>
      </c>
      <c r="E29" s="50">
        <f>Table1!G6/1000</f>
        <v>-5.918150715638856</v>
      </c>
      <c r="F29" s="24" t="s">
        <v>690</v>
      </c>
      <c r="G29" s="24" t="s">
        <v>227</v>
      </c>
      <c r="H29" s="24"/>
      <c r="I29" s="24"/>
      <c r="J29" s="24"/>
      <c r="K29" s="24"/>
      <c r="L29" s="24"/>
      <c r="M29" s="24"/>
      <c r="N29" s="24"/>
    </row>
    <row r="30" spans="1:14" ht="15">
      <c r="A30" s="24">
        <v>27</v>
      </c>
      <c r="B30" s="24" t="s">
        <v>697</v>
      </c>
      <c r="C30" s="24" t="s">
        <v>42</v>
      </c>
      <c r="D30" s="24">
        <v>2</v>
      </c>
      <c r="E30" s="57">
        <f>E25</f>
        <v>-1.951</v>
      </c>
      <c r="F30" s="24" t="s">
        <v>690</v>
      </c>
      <c r="G30" s="24" t="s">
        <v>227</v>
      </c>
      <c r="H30" s="24"/>
      <c r="I30" s="24"/>
      <c r="J30" s="24"/>
      <c r="K30" s="24"/>
      <c r="L30" s="24"/>
      <c r="M30" s="24"/>
      <c r="N30" s="24"/>
    </row>
    <row r="31" spans="1:14" ht="15">
      <c r="A31" s="24">
        <v>28</v>
      </c>
      <c r="B31" s="24" t="s">
        <v>696</v>
      </c>
      <c r="C31" s="24" t="s">
        <v>42</v>
      </c>
      <c r="D31" s="24">
        <v>2</v>
      </c>
      <c r="E31" s="55">
        <f>(Table1!G8+Table1!G10)/1000</f>
        <v>2.313996929814793</v>
      </c>
      <c r="F31" s="24" t="s">
        <v>695</v>
      </c>
      <c r="G31" s="24" t="s">
        <v>227</v>
      </c>
      <c r="H31" s="24"/>
      <c r="I31" s="24"/>
      <c r="J31" s="24"/>
      <c r="K31" s="24"/>
      <c r="L31" s="24"/>
      <c r="M31" s="24"/>
      <c r="N31" s="24"/>
    </row>
    <row r="32" spans="1:14" ht="15">
      <c r="A32" s="24">
        <v>29</v>
      </c>
      <c r="B32" s="24" t="s">
        <v>694</v>
      </c>
      <c r="C32" s="24" t="s">
        <v>545</v>
      </c>
      <c r="D32" s="24">
        <v>8</v>
      </c>
      <c r="E32" s="50">
        <f>E29+E30</f>
        <v>-7.869150715638856</v>
      </c>
      <c r="F32" s="24" t="s">
        <v>693</v>
      </c>
      <c r="G32" s="24" t="s">
        <v>227</v>
      </c>
      <c r="H32" s="24"/>
      <c r="I32" s="24"/>
      <c r="J32" s="24"/>
      <c r="K32" s="24"/>
      <c r="L32" s="24"/>
      <c r="M32" s="24"/>
      <c r="N32" s="24"/>
    </row>
    <row r="33" spans="1:14" ht="15">
      <c r="A33" s="24">
        <v>30</v>
      </c>
      <c r="B33" s="24" t="s">
        <v>692</v>
      </c>
      <c r="C33" s="24" t="s">
        <v>77</v>
      </c>
      <c r="D33" s="24">
        <v>1</v>
      </c>
      <c r="E33" s="50">
        <f>SUM(Table1!$G$11:$G$15)/1000</f>
        <v>-1.516023160318328</v>
      </c>
      <c r="F33" s="24" t="s">
        <v>690</v>
      </c>
      <c r="G33" s="24" t="s">
        <v>227</v>
      </c>
      <c r="H33" s="24"/>
      <c r="I33" s="24"/>
      <c r="J33" s="24"/>
      <c r="K33" s="24"/>
      <c r="L33" s="24"/>
      <c r="M33" s="24"/>
      <c r="N33" s="24"/>
    </row>
    <row r="34" spans="1:14" ht="15">
      <c r="A34" s="24">
        <v>31</v>
      </c>
      <c r="B34" s="24" t="s">
        <v>691</v>
      </c>
      <c r="C34" s="24" t="s">
        <v>152</v>
      </c>
      <c r="D34" s="24">
        <v>7</v>
      </c>
      <c r="E34" s="55">
        <f>SUM(E31:E33)</f>
        <v>-7.071176946142391</v>
      </c>
      <c r="F34" s="24" t="s">
        <v>690</v>
      </c>
      <c r="G34" s="24" t="s">
        <v>227</v>
      </c>
      <c r="H34" s="24"/>
      <c r="I34" s="24"/>
      <c r="J34" s="24"/>
      <c r="K34" s="24"/>
      <c r="L34" s="24"/>
      <c r="M34" s="24"/>
      <c r="N34" s="24"/>
    </row>
    <row r="35" spans="1:14" ht="15">
      <c r="A35" s="24">
        <v>32</v>
      </c>
      <c r="B35" s="24" t="s">
        <v>689</v>
      </c>
      <c r="C35" s="24" t="s">
        <v>323</v>
      </c>
      <c r="D35" s="24">
        <v>10</v>
      </c>
      <c r="E35" s="24"/>
      <c r="F35" s="24" t="s">
        <v>688</v>
      </c>
      <c r="G35" s="24" t="s">
        <v>227</v>
      </c>
      <c r="H35" s="24"/>
      <c r="I35" s="24"/>
      <c r="J35" s="24"/>
      <c r="K35" s="24"/>
      <c r="L35" s="24"/>
      <c r="M35" s="24"/>
      <c r="N35" s="24"/>
    </row>
    <row r="36" spans="1:14" ht="15">
      <c r="A36" s="24">
        <v>33</v>
      </c>
      <c r="B36" s="24" t="s">
        <v>687</v>
      </c>
      <c r="C36" s="24" t="s">
        <v>39</v>
      </c>
      <c r="D36" s="24">
        <v>2020</v>
      </c>
      <c r="E36" s="24"/>
      <c r="F36" s="24" t="s">
        <v>130</v>
      </c>
      <c r="G36" s="24" t="s">
        <v>227</v>
      </c>
      <c r="H36" s="24"/>
      <c r="I36" s="24"/>
      <c r="J36" s="24"/>
      <c r="K36" s="24"/>
      <c r="L36" s="24"/>
      <c r="M36" s="24"/>
      <c r="N36" s="24"/>
    </row>
    <row r="37" spans="1:14" ht="15">
      <c r="A37" s="24">
        <v>34</v>
      </c>
      <c r="B37" s="24" t="s">
        <v>50</v>
      </c>
      <c r="C37" s="24" t="s">
        <v>234</v>
      </c>
      <c r="D37" s="24">
        <v>251</v>
      </c>
      <c r="E37" s="24">
        <f>WorkingDays!$F$4</f>
        <v>251</v>
      </c>
      <c r="F37" s="24" t="s">
        <v>235</v>
      </c>
      <c r="G37" s="24" t="s">
        <v>227</v>
      </c>
      <c r="H37" s="24"/>
      <c r="I37" s="24"/>
      <c r="J37" s="24"/>
      <c r="K37" s="24"/>
      <c r="L37" s="24"/>
      <c r="M37" s="24"/>
      <c r="N37" s="24"/>
    </row>
    <row r="38" spans="1:14" ht="15">
      <c r="A38" s="24">
        <v>35</v>
      </c>
      <c r="B38" s="24" t="s">
        <v>236</v>
      </c>
      <c r="C38" s="24" t="s">
        <v>237</v>
      </c>
      <c r="D38" s="24">
        <v>114</v>
      </c>
      <c r="E38" s="24">
        <f>365-E37</f>
        <v>114</v>
      </c>
      <c r="F38" s="24" t="s">
        <v>51</v>
      </c>
      <c r="G38" s="24" t="s">
        <v>227</v>
      </c>
      <c r="H38" s="24"/>
      <c r="I38" s="24"/>
      <c r="J38" s="24"/>
      <c r="K38" s="24"/>
      <c r="L38" s="24"/>
      <c r="M38" s="24"/>
      <c r="N38" s="24"/>
    </row>
    <row r="39" spans="1:14" ht="15">
      <c r="A39" s="24">
        <v>36</v>
      </c>
      <c r="B39" s="24" t="s">
        <v>52</v>
      </c>
      <c r="C39" s="24" t="s">
        <v>53</v>
      </c>
      <c r="D39" s="24">
        <v>0.1</v>
      </c>
      <c r="E39" s="24">
        <v>0.1</v>
      </c>
      <c r="F39" s="24" t="s">
        <v>54</v>
      </c>
      <c r="G39" s="48" t="s">
        <v>227</v>
      </c>
      <c r="H39" s="24" t="s">
        <v>742</v>
      </c>
      <c r="I39" s="24"/>
      <c r="J39" s="24"/>
      <c r="K39" s="24"/>
      <c r="L39" s="24"/>
      <c r="M39" s="24"/>
      <c r="N39" s="24"/>
    </row>
    <row r="40" spans="1:14" ht="15">
      <c r="A40" s="24">
        <v>37</v>
      </c>
      <c r="B40" s="24" t="s">
        <v>55</v>
      </c>
      <c r="C40" s="24" t="s">
        <v>45</v>
      </c>
      <c r="D40" s="24">
        <v>0.25</v>
      </c>
      <c r="E40" s="24"/>
      <c r="F40" s="24" t="s">
        <v>56</v>
      </c>
      <c r="G40" s="48" t="s">
        <v>227</v>
      </c>
      <c r="H40" s="24"/>
      <c r="I40" s="24"/>
      <c r="J40" s="24"/>
      <c r="K40" s="24"/>
      <c r="L40" s="24"/>
      <c r="M40" s="24"/>
      <c r="N40" s="24"/>
    </row>
    <row r="41" spans="1:14" ht="15">
      <c r="A41" s="24">
        <v>38</v>
      </c>
      <c r="B41" s="24" t="s">
        <v>57</v>
      </c>
      <c r="C41" s="24" t="s">
        <v>45</v>
      </c>
      <c r="D41" s="24">
        <v>0.25</v>
      </c>
      <c r="E41" s="24"/>
      <c r="F41" s="24" t="s">
        <v>58</v>
      </c>
      <c r="G41" s="49" t="s">
        <v>227</v>
      </c>
      <c r="H41" s="48"/>
      <c r="I41" s="24"/>
      <c r="J41" s="24"/>
      <c r="K41" s="24"/>
      <c r="L41" s="24"/>
      <c r="M41" s="24"/>
      <c r="N41" s="24"/>
    </row>
    <row r="42" spans="1:14" ht="15">
      <c r="A42" s="24">
        <v>39</v>
      </c>
      <c r="B42" s="24" t="s">
        <v>59</v>
      </c>
      <c r="C42" s="24" t="s">
        <v>60</v>
      </c>
      <c r="D42" s="24">
        <v>0.4</v>
      </c>
      <c r="E42" s="24">
        <f>E39/D41</f>
        <v>0.4</v>
      </c>
      <c r="F42" s="24" t="s">
        <v>61</v>
      </c>
      <c r="G42" s="49" t="s">
        <v>227</v>
      </c>
      <c r="H42" s="24"/>
      <c r="I42" s="24"/>
      <c r="J42" s="24"/>
      <c r="K42" s="24"/>
      <c r="L42" s="24"/>
      <c r="M42" s="24"/>
      <c r="N42" s="24"/>
    </row>
    <row r="43" spans="1:14" ht="15">
      <c r="A43" s="24">
        <v>40</v>
      </c>
      <c r="B43" s="24" t="s">
        <v>62</v>
      </c>
      <c r="C43" s="24" t="s">
        <v>45</v>
      </c>
      <c r="D43" s="24">
        <v>0.25</v>
      </c>
      <c r="E43" s="24"/>
      <c r="F43" s="24" t="s">
        <v>63</v>
      </c>
      <c r="G43" s="49" t="s">
        <v>227</v>
      </c>
      <c r="H43" s="24"/>
      <c r="I43" s="24"/>
      <c r="J43" s="24"/>
      <c r="K43" s="24"/>
      <c r="L43" s="24"/>
      <c r="M43" s="24"/>
      <c r="N43" s="24"/>
    </row>
    <row r="44" spans="1:14" ht="15">
      <c r="A44" s="24">
        <v>41</v>
      </c>
      <c r="B44" s="24" t="s">
        <v>64</v>
      </c>
      <c r="C44" s="24" t="s">
        <v>65</v>
      </c>
      <c r="D44" s="24">
        <v>62</v>
      </c>
      <c r="E44" s="24">
        <f>E37*D41</f>
        <v>62.75</v>
      </c>
      <c r="F44" s="24" t="s">
        <v>66</v>
      </c>
      <c r="G44" s="49" t="s">
        <v>227</v>
      </c>
      <c r="H44" s="24"/>
      <c r="I44" s="24"/>
      <c r="J44" s="24"/>
      <c r="K44" s="24"/>
      <c r="L44" s="24"/>
      <c r="M44" s="24"/>
      <c r="N44" s="24"/>
    </row>
    <row r="45" spans="1:14" ht="15">
      <c r="A45" s="24">
        <v>42</v>
      </c>
      <c r="B45" s="24" t="s">
        <v>67</v>
      </c>
      <c r="C45" s="24" t="s">
        <v>68</v>
      </c>
      <c r="D45" s="24">
        <v>63</v>
      </c>
      <c r="E45" s="24">
        <f>E44</f>
        <v>62.75</v>
      </c>
      <c r="F45" s="24" t="s">
        <v>69</v>
      </c>
      <c r="G45" s="49" t="s">
        <v>227</v>
      </c>
      <c r="H45" s="24"/>
      <c r="I45" s="24"/>
      <c r="J45" s="24"/>
      <c r="K45" s="24"/>
      <c r="L45" s="24"/>
      <c r="M45" s="24"/>
      <c r="N45" s="24"/>
    </row>
    <row r="46" spans="1:14" ht="15">
      <c r="A46" s="24">
        <v>43</v>
      </c>
      <c r="B46" s="24" t="s">
        <v>70</v>
      </c>
      <c r="C46" s="24" t="s">
        <v>71</v>
      </c>
      <c r="D46" s="24">
        <v>25</v>
      </c>
      <c r="E46" s="24">
        <f>E44*E42</f>
        <v>25.1</v>
      </c>
      <c r="F46" s="24" t="s">
        <v>61</v>
      </c>
      <c r="G46" s="49" t="s">
        <v>227</v>
      </c>
      <c r="H46" s="24"/>
      <c r="I46" s="24"/>
      <c r="J46" s="24"/>
      <c r="K46" s="24"/>
      <c r="L46" s="24"/>
      <c r="M46" s="24"/>
      <c r="N46" s="24"/>
    </row>
    <row r="47" spans="1:14" ht="15">
      <c r="A47" s="24">
        <v>44</v>
      </c>
      <c r="B47" s="24" t="s">
        <v>72</v>
      </c>
      <c r="C47" s="24" t="s">
        <v>39</v>
      </c>
      <c r="D47" s="24">
        <v>2020</v>
      </c>
      <c r="E47" s="24"/>
      <c r="F47" s="24" t="s">
        <v>686</v>
      </c>
      <c r="G47" s="49" t="s">
        <v>227</v>
      </c>
      <c r="H47" s="24"/>
      <c r="I47" s="24"/>
      <c r="J47" s="24"/>
      <c r="K47" s="24"/>
      <c r="L47" s="24"/>
      <c r="M47" s="24"/>
      <c r="N47" s="24"/>
    </row>
    <row r="48" spans="1:14" ht="15">
      <c r="A48" s="24">
        <v>45</v>
      </c>
      <c r="B48" s="24" t="s">
        <v>73</v>
      </c>
      <c r="C48" s="24" t="s">
        <v>42</v>
      </c>
      <c r="D48" s="24">
        <v>2</v>
      </c>
      <c r="E48" s="24"/>
      <c r="F48" s="24" t="s">
        <v>685</v>
      </c>
      <c r="G48" s="24" t="s">
        <v>227</v>
      </c>
      <c r="H48" s="24"/>
      <c r="I48" s="24"/>
      <c r="J48" s="24"/>
      <c r="K48" s="24"/>
      <c r="L48" s="24"/>
      <c r="M48" s="24"/>
      <c r="N48" s="24"/>
    </row>
    <row r="49" spans="1:14" ht="15">
      <c r="A49" s="24">
        <v>46</v>
      </c>
      <c r="B49" s="24" t="s">
        <v>74</v>
      </c>
      <c r="C49" s="24" t="s">
        <v>75</v>
      </c>
      <c r="D49" s="24">
        <v>5.5</v>
      </c>
      <c r="E49" s="50">
        <f>Table1!$F$20/1000</f>
        <v>5.541150000000001</v>
      </c>
      <c r="F49" s="24" t="s">
        <v>684</v>
      </c>
      <c r="G49" s="49" t="s">
        <v>227</v>
      </c>
      <c r="H49" s="24" t="s">
        <v>743</v>
      </c>
      <c r="I49" s="24"/>
      <c r="J49" s="24"/>
      <c r="K49" s="24"/>
      <c r="L49" s="24"/>
      <c r="M49" s="24"/>
      <c r="N49" s="24"/>
    </row>
    <row r="50" spans="1:14" ht="15">
      <c r="A50" s="24">
        <v>47</v>
      </c>
      <c r="B50" s="24" t="s">
        <v>76</v>
      </c>
      <c r="C50" s="24" t="s">
        <v>45</v>
      </c>
      <c r="D50" s="24">
        <v>0.25</v>
      </c>
      <c r="E50" s="24"/>
      <c r="F50" s="24" t="s">
        <v>683</v>
      </c>
      <c r="G50" s="49" t="s">
        <v>227</v>
      </c>
      <c r="H50" s="24"/>
      <c r="I50" s="24"/>
      <c r="J50" s="24"/>
      <c r="K50" s="24"/>
      <c r="L50" s="24"/>
      <c r="M50" s="24"/>
      <c r="N50" s="24"/>
    </row>
    <row r="51" spans="1:14" ht="15">
      <c r="A51" s="24">
        <v>48</v>
      </c>
      <c r="B51" s="24" t="s">
        <v>682</v>
      </c>
      <c r="C51" s="24" t="s">
        <v>45</v>
      </c>
      <c r="D51" s="24">
        <v>0.25</v>
      </c>
      <c r="E51" s="24"/>
      <c r="F51" s="24" t="s">
        <v>78</v>
      </c>
      <c r="G51" s="49" t="s">
        <v>227</v>
      </c>
      <c r="H51" s="24"/>
      <c r="I51" s="24"/>
      <c r="J51" s="24"/>
      <c r="K51" s="24"/>
      <c r="L51" s="24"/>
      <c r="M51" s="24"/>
      <c r="N51" s="24"/>
    </row>
    <row r="52" spans="1:14" ht="15">
      <c r="A52" s="24">
        <v>49</v>
      </c>
      <c r="B52" s="24" t="s">
        <v>681</v>
      </c>
      <c r="C52" s="24" t="s">
        <v>45</v>
      </c>
      <c r="D52" s="24">
        <v>0.25</v>
      </c>
      <c r="F52" s="24" t="s">
        <v>79</v>
      </c>
      <c r="G52" s="49" t="s">
        <v>227</v>
      </c>
      <c r="H52" s="24"/>
      <c r="I52" s="24"/>
      <c r="J52" s="24"/>
      <c r="K52" s="24"/>
      <c r="L52" s="24"/>
      <c r="M52" s="24"/>
      <c r="N52" s="24"/>
    </row>
    <row r="53" spans="1:14" ht="15">
      <c r="A53" s="24">
        <v>50</v>
      </c>
      <c r="B53" s="24" t="s">
        <v>680</v>
      </c>
      <c r="C53" s="24" t="s">
        <v>80</v>
      </c>
      <c r="D53" s="24">
        <v>4.2</v>
      </c>
      <c r="E53" s="50">
        <f>E49*(1-D46/100)</f>
        <v>4.1558625000000005</v>
      </c>
      <c r="F53" s="24" t="s">
        <v>81</v>
      </c>
      <c r="G53" s="49" t="s">
        <v>227</v>
      </c>
      <c r="H53" s="24"/>
      <c r="I53" s="24"/>
      <c r="J53" s="24"/>
      <c r="K53" s="24"/>
      <c r="L53" s="24"/>
      <c r="M53" s="24"/>
      <c r="N53" s="24"/>
    </row>
    <row r="54" spans="1:14" ht="15">
      <c r="A54" s="24">
        <v>51</v>
      </c>
      <c r="B54" s="24" t="s">
        <v>82</v>
      </c>
      <c r="C54" s="24" t="s">
        <v>39</v>
      </c>
      <c r="D54" s="24">
        <v>2020</v>
      </c>
      <c r="E54" s="24"/>
      <c r="F54" s="24" t="s">
        <v>679</v>
      </c>
      <c r="G54" s="49" t="s">
        <v>227</v>
      </c>
      <c r="H54" s="24"/>
      <c r="I54" s="24"/>
      <c r="J54" s="24"/>
      <c r="K54" s="24"/>
      <c r="L54" s="24"/>
      <c r="M54" s="24"/>
      <c r="N54" s="24"/>
    </row>
    <row r="55" spans="1:14" ht="15">
      <c r="A55" s="24">
        <v>52</v>
      </c>
      <c r="B55" s="24" t="s">
        <v>83</v>
      </c>
      <c r="C55" s="24" t="s">
        <v>77</v>
      </c>
      <c r="D55" s="24">
        <v>1</v>
      </c>
      <c r="E55" s="24"/>
      <c r="F55" s="24" t="s">
        <v>678</v>
      </c>
      <c r="G55" s="24" t="s">
        <v>227</v>
      </c>
      <c r="H55" s="24"/>
      <c r="I55" s="24"/>
      <c r="J55" s="24"/>
      <c r="K55" s="24"/>
      <c r="L55" s="24"/>
      <c r="M55" s="24"/>
      <c r="N55" s="24"/>
    </row>
    <row r="56" spans="1:14" ht="15">
      <c r="A56" s="24">
        <v>53</v>
      </c>
      <c r="B56" s="24" t="s">
        <v>677</v>
      </c>
      <c r="C56" s="24" t="s">
        <v>84</v>
      </c>
      <c r="D56" s="24">
        <v>1</v>
      </c>
      <c r="E56" s="24"/>
      <c r="F56" s="24" t="s">
        <v>85</v>
      </c>
      <c r="G56" s="49" t="s">
        <v>227</v>
      </c>
      <c r="H56" s="24"/>
      <c r="I56" s="24"/>
      <c r="J56" s="24"/>
      <c r="K56" s="24"/>
      <c r="L56" s="24"/>
      <c r="M56" s="24"/>
      <c r="N56" s="24"/>
    </row>
    <row r="57" spans="1:14" ht="15">
      <c r="A57" s="24">
        <v>54</v>
      </c>
      <c r="B57" s="24" t="s">
        <v>676</v>
      </c>
      <c r="C57" s="24" t="s">
        <v>86</v>
      </c>
      <c r="D57" s="24">
        <v>8</v>
      </c>
      <c r="E57" s="24"/>
      <c r="F57" s="24" t="s">
        <v>87</v>
      </c>
      <c r="G57" s="49" t="s">
        <v>227</v>
      </c>
      <c r="H57" s="24"/>
      <c r="I57" s="24"/>
      <c r="J57" s="24"/>
      <c r="K57" s="24"/>
      <c r="L57" s="24"/>
      <c r="M57" s="24"/>
      <c r="N57" s="24"/>
    </row>
    <row r="58" spans="1:14" ht="15">
      <c r="A58" s="24">
        <v>55</v>
      </c>
      <c r="B58" s="24" t="s">
        <v>675</v>
      </c>
      <c r="C58" s="24" t="s">
        <v>45</v>
      </c>
      <c r="D58" s="24">
        <v>0.25</v>
      </c>
      <c r="E58" s="24"/>
      <c r="F58" s="24" t="s">
        <v>88</v>
      </c>
      <c r="G58" s="49" t="s">
        <v>227</v>
      </c>
      <c r="H58" s="24"/>
      <c r="I58" s="24"/>
      <c r="J58" s="24"/>
      <c r="K58" s="24"/>
      <c r="L58" s="24"/>
      <c r="M58" s="24"/>
      <c r="N58" s="24"/>
    </row>
    <row r="59" spans="1:14" ht="15">
      <c r="A59" s="24">
        <v>56</v>
      </c>
      <c r="B59" s="24" t="s">
        <v>674</v>
      </c>
      <c r="C59" s="24" t="s">
        <v>39</v>
      </c>
      <c r="D59" s="24">
        <v>2020</v>
      </c>
      <c r="E59" s="24"/>
      <c r="F59" s="24" t="s">
        <v>89</v>
      </c>
      <c r="G59" s="49" t="s">
        <v>227</v>
      </c>
      <c r="H59" s="24"/>
      <c r="I59" s="24"/>
      <c r="J59" s="24"/>
      <c r="K59" s="24"/>
      <c r="L59" s="24"/>
      <c r="M59" s="24"/>
      <c r="N59" s="24"/>
    </row>
    <row r="60" spans="1:14" ht="15">
      <c r="A60" s="24">
        <v>57</v>
      </c>
      <c r="B60" s="24" t="s">
        <v>673</v>
      </c>
      <c r="C60" s="24" t="s">
        <v>77</v>
      </c>
      <c r="D60" s="24">
        <v>1</v>
      </c>
      <c r="E60" s="24"/>
      <c r="F60" s="24" t="s">
        <v>90</v>
      </c>
      <c r="G60" s="24" t="s">
        <v>227</v>
      </c>
      <c r="H60" s="24"/>
      <c r="I60" s="24"/>
      <c r="J60" s="24"/>
      <c r="K60" s="24"/>
      <c r="L60" s="24"/>
      <c r="M60" s="24"/>
      <c r="N60" s="24"/>
    </row>
    <row r="61" spans="1:14" ht="15">
      <c r="A61" s="24">
        <v>58</v>
      </c>
      <c r="B61" s="24" t="s">
        <v>672</v>
      </c>
      <c r="C61" s="24" t="s">
        <v>39</v>
      </c>
      <c r="D61" s="24">
        <v>2020</v>
      </c>
      <c r="E61" s="24"/>
      <c r="F61" s="24" t="s">
        <v>91</v>
      </c>
      <c r="G61" s="24" t="s">
        <v>227</v>
      </c>
      <c r="H61" s="24"/>
      <c r="I61" s="24"/>
      <c r="J61" s="24"/>
      <c r="K61" s="24"/>
      <c r="L61" s="24"/>
      <c r="M61" s="24"/>
      <c r="N61" s="24"/>
    </row>
    <row r="62" spans="1:14" ht="15">
      <c r="A62" s="24">
        <v>59</v>
      </c>
      <c r="B62" s="24" t="s">
        <v>671</v>
      </c>
      <c r="C62" s="24" t="s">
        <v>42</v>
      </c>
      <c r="D62" s="24">
        <v>2</v>
      </c>
      <c r="E62" s="24"/>
      <c r="F62" s="24" t="s">
        <v>92</v>
      </c>
      <c r="G62" s="24" t="s">
        <v>227</v>
      </c>
      <c r="H62" s="24"/>
      <c r="I62" s="24"/>
      <c r="J62" s="24"/>
      <c r="K62" s="24"/>
      <c r="L62" s="24"/>
      <c r="M62" s="24"/>
      <c r="N62" s="24"/>
    </row>
    <row r="63" spans="1:14" ht="15">
      <c r="A63" s="24">
        <v>60</v>
      </c>
      <c r="B63" s="24" t="s">
        <v>670</v>
      </c>
      <c r="C63" s="24" t="s">
        <v>93</v>
      </c>
      <c r="D63" s="24">
        <v>5.4</v>
      </c>
      <c r="E63" s="50">
        <f>(E49*(D57-1)+E53*1)/D57</f>
        <v>5.3679890625</v>
      </c>
      <c r="F63" s="24" t="s">
        <v>81</v>
      </c>
      <c r="G63" s="24" t="s">
        <v>227</v>
      </c>
      <c r="H63" s="24"/>
      <c r="I63" s="24"/>
      <c r="J63" s="24"/>
      <c r="K63" s="24"/>
      <c r="L63" s="24"/>
      <c r="M63" s="24"/>
      <c r="N63" s="24"/>
    </row>
    <row r="64" spans="1:14" ht="15">
      <c r="A64" s="24">
        <v>61</v>
      </c>
      <c r="B64" s="24" t="s">
        <v>94</v>
      </c>
      <c r="C64" s="24" t="s">
        <v>45</v>
      </c>
      <c r="D64" s="24">
        <v>0.25</v>
      </c>
      <c r="E64" s="24"/>
      <c r="F64" s="24" t="s">
        <v>95</v>
      </c>
      <c r="G64" s="24" t="s">
        <v>227</v>
      </c>
      <c r="H64" s="24"/>
      <c r="I64" s="24"/>
      <c r="J64" s="24"/>
      <c r="K64" s="24"/>
      <c r="L64" s="24"/>
      <c r="M64" s="24"/>
      <c r="N64" s="24"/>
    </row>
    <row r="65" spans="1:14" ht="15">
      <c r="A65" s="24">
        <v>62</v>
      </c>
      <c r="B65" s="24" t="s">
        <v>96</v>
      </c>
      <c r="C65" s="24" t="s">
        <v>45</v>
      </c>
      <c r="D65" s="24">
        <v>0.25</v>
      </c>
      <c r="E65" s="24"/>
      <c r="F65" s="24" t="s">
        <v>97</v>
      </c>
      <c r="G65" s="24" t="s">
        <v>227</v>
      </c>
      <c r="H65" s="24"/>
      <c r="I65" s="24"/>
      <c r="J65" s="24"/>
      <c r="K65" s="24"/>
      <c r="L65" s="24"/>
      <c r="M65" s="24"/>
      <c r="N65" s="24"/>
    </row>
    <row r="66" spans="1:14" ht="15">
      <c r="A66" s="24">
        <v>63</v>
      </c>
      <c r="B66" s="24" t="s">
        <v>98</v>
      </c>
      <c r="C66" s="24" t="s">
        <v>99</v>
      </c>
      <c r="D66" s="24">
        <v>10</v>
      </c>
      <c r="E66" s="51">
        <f>1.02*(E63/E49)^4-1</f>
        <v>-0.10164697647094767</v>
      </c>
      <c r="F66" s="24" t="s">
        <v>100</v>
      </c>
      <c r="G66" s="24" t="s">
        <v>227</v>
      </c>
      <c r="H66" s="24" t="s">
        <v>744</v>
      </c>
      <c r="I66" s="24"/>
      <c r="J66" s="24"/>
      <c r="K66" s="24"/>
      <c r="L66" s="24"/>
      <c r="M66" s="24"/>
      <c r="N66" s="24"/>
    </row>
    <row r="67" spans="1:14" ht="15">
      <c r="A67" s="24">
        <v>64</v>
      </c>
      <c r="B67" s="24" t="s">
        <v>101</v>
      </c>
      <c r="C67" s="24" t="s">
        <v>77</v>
      </c>
      <c r="D67" s="24">
        <v>1</v>
      </c>
      <c r="E67" s="24"/>
      <c r="F67" s="24" t="s">
        <v>102</v>
      </c>
      <c r="G67" s="24" t="s">
        <v>227</v>
      </c>
      <c r="H67" s="24"/>
      <c r="I67" s="24"/>
      <c r="J67" s="24"/>
      <c r="K67" s="24"/>
      <c r="L67" s="24"/>
      <c r="M67" s="24"/>
      <c r="N67" s="24"/>
    </row>
    <row r="68" spans="1:14" ht="15">
      <c r="A68" s="24">
        <v>65</v>
      </c>
      <c r="B68" s="24" t="s">
        <v>103</v>
      </c>
      <c r="C68" s="24" t="s">
        <v>68</v>
      </c>
      <c r="D68" s="24">
        <v>63</v>
      </c>
      <c r="E68" s="52">
        <f>1.02*((1-AVERAGE($D$44:$D$45)*E42/100)/(1-AVERAGE($D$44:$D$45)*E42/($D$57*100)))^4-1</f>
        <v>-0.6335638063454974</v>
      </c>
      <c r="F68" s="24" t="s">
        <v>104</v>
      </c>
      <c r="G68" s="24" t="s">
        <v>227</v>
      </c>
      <c r="H68" s="24" t="s">
        <v>744</v>
      </c>
      <c r="I68" s="24"/>
      <c r="J68" s="24"/>
      <c r="K68" s="24"/>
      <c r="L68" s="24"/>
      <c r="M68" s="24"/>
      <c r="N68" s="24"/>
    </row>
    <row r="69" spans="1:14" ht="15">
      <c r="A69" s="24">
        <v>65.5</v>
      </c>
      <c r="B69" s="24"/>
      <c r="C69" s="24"/>
      <c r="D69" s="24"/>
      <c r="E69" s="52">
        <f>1.02*((1-WorkingDays!$O$7*E42/100)/(1-AVERAGE($D$44:$D$45)*E42/($D$57*100)))^4-1</f>
        <v>-0.6451498020044799</v>
      </c>
      <c r="F69" s="24"/>
      <c r="G69" s="24" t="s">
        <v>227</v>
      </c>
      <c r="H69" s="24" t="s">
        <v>747</v>
      </c>
      <c r="I69" s="24"/>
      <c r="J69" s="24"/>
      <c r="K69" s="24"/>
      <c r="L69" s="24"/>
      <c r="M69" s="24"/>
      <c r="N69" s="24"/>
    </row>
    <row r="70" spans="1:14" ht="15">
      <c r="A70" s="24">
        <v>66</v>
      </c>
      <c r="B70" s="24" t="s">
        <v>105</v>
      </c>
      <c r="C70" s="24" t="s">
        <v>106</v>
      </c>
      <c r="D70" s="24">
        <v>2</v>
      </c>
      <c r="E70" s="24"/>
      <c r="F70" s="24"/>
      <c r="G70" s="24" t="s">
        <v>227</v>
      </c>
      <c r="H70" s="24"/>
      <c r="I70" s="24"/>
      <c r="J70" s="24"/>
      <c r="K70" s="24"/>
      <c r="L70" s="24"/>
      <c r="M70" s="24"/>
      <c r="N70" s="24"/>
    </row>
    <row r="71" spans="1:14" ht="15">
      <c r="A71" s="24">
        <v>67</v>
      </c>
      <c r="B71" s="24" t="s">
        <v>107</v>
      </c>
      <c r="C71" s="24" t="s">
        <v>42</v>
      </c>
      <c r="D71" s="24">
        <v>2</v>
      </c>
      <c r="E71" s="24"/>
      <c r="F71" s="24" t="s">
        <v>669</v>
      </c>
      <c r="G71" s="24" t="s">
        <v>227</v>
      </c>
      <c r="H71" s="24"/>
      <c r="I71" s="24"/>
      <c r="J71" s="24"/>
      <c r="K71" s="24"/>
      <c r="L71" s="24"/>
      <c r="M71" s="24"/>
      <c r="N71" s="24"/>
    </row>
    <row r="72" spans="1:14" ht="15">
      <c r="A72" s="24">
        <v>68</v>
      </c>
      <c r="B72" s="24" t="s">
        <v>668</v>
      </c>
      <c r="C72" s="24" t="s">
        <v>323</v>
      </c>
      <c r="D72" s="24">
        <v>10</v>
      </c>
      <c r="E72" s="24"/>
      <c r="F72" s="24" t="s">
        <v>667</v>
      </c>
      <c r="G72" s="24" t="s">
        <v>227</v>
      </c>
      <c r="H72" s="24"/>
      <c r="I72" s="24"/>
      <c r="J72" s="24"/>
      <c r="K72" s="24"/>
      <c r="L72" s="24"/>
      <c r="M72" s="24"/>
      <c r="N72" s="24"/>
    </row>
    <row r="73" spans="1:14" ht="15">
      <c r="A73" s="24">
        <v>69</v>
      </c>
      <c r="B73" s="24" t="s">
        <v>666</v>
      </c>
      <c r="C73" s="24" t="s">
        <v>45</v>
      </c>
      <c r="D73" s="24">
        <v>0.25</v>
      </c>
      <c r="E73" s="24"/>
      <c r="F73" s="24" t="s">
        <v>108</v>
      </c>
      <c r="G73" s="24" t="s">
        <v>227</v>
      </c>
      <c r="H73" s="24"/>
      <c r="I73" s="24"/>
      <c r="J73" s="24"/>
      <c r="K73" s="24"/>
      <c r="L73" s="24"/>
      <c r="M73" s="24"/>
      <c r="N73" s="24"/>
    </row>
    <row r="74" spans="1:14" ht="15">
      <c r="A74" s="24">
        <v>70</v>
      </c>
      <c r="B74" s="24" t="s">
        <v>109</v>
      </c>
      <c r="C74" s="24" t="s">
        <v>84</v>
      </c>
      <c r="D74" s="24">
        <v>1</v>
      </c>
      <c r="E74" s="24"/>
      <c r="F74" s="24" t="s">
        <v>665</v>
      </c>
      <c r="G74" s="24" t="s">
        <v>227</v>
      </c>
      <c r="H74" s="24"/>
      <c r="I74" s="24"/>
      <c r="J74" s="24"/>
      <c r="K74" s="24"/>
      <c r="L74" s="24"/>
      <c r="M74" s="24"/>
      <c r="N74" s="24"/>
    </row>
    <row r="75" spans="1:14" ht="15">
      <c r="A75" s="24">
        <v>71</v>
      </c>
      <c r="B75" s="24" t="s">
        <v>110</v>
      </c>
      <c r="C75" s="24" t="s">
        <v>80</v>
      </c>
      <c r="D75" s="24">
        <v>4.2</v>
      </c>
      <c r="E75" s="50">
        <f>E53</f>
        <v>4.1558625000000005</v>
      </c>
      <c r="F75" s="24" t="s">
        <v>111</v>
      </c>
      <c r="G75" s="24" t="s">
        <v>227</v>
      </c>
      <c r="H75" s="24"/>
      <c r="I75" s="24"/>
      <c r="J75" s="24"/>
      <c r="K75" s="24"/>
      <c r="L75" s="24"/>
      <c r="M75" s="24"/>
      <c r="N75" s="24"/>
    </row>
    <row r="76" spans="1:14" ht="15">
      <c r="A76" s="24">
        <v>72</v>
      </c>
      <c r="B76" s="24" t="s">
        <v>110</v>
      </c>
      <c r="C76" s="24" t="s">
        <v>80</v>
      </c>
      <c r="D76" s="24">
        <v>4.2</v>
      </c>
      <c r="E76" s="50">
        <f>E75</f>
        <v>4.1558625000000005</v>
      </c>
      <c r="F76" s="24" t="s">
        <v>112</v>
      </c>
      <c r="G76" s="24" t="s">
        <v>227</v>
      </c>
      <c r="H76" s="24"/>
      <c r="I76" s="24"/>
      <c r="J76" s="24"/>
      <c r="K76" s="24"/>
      <c r="L76" s="24"/>
      <c r="M76" s="24"/>
      <c r="N76" s="24"/>
    </row>
    <row r="77" spans="1:14" ht="15">
      <c r="A77" s="24">
        <v>73</v>
      </c>
      <c r="B77" s="24" t="s">
        <v>664</v>
      </c>
      <c r="C77" s="24" t="s">
        <v>84</v>
      </c>
      <c r="D77" s="24">
        <v>1</v>
      </c>
      <c r="E77" s="24"/>
      <c r="F77" s="24" t="s">
        <v>663</v>
      </c>
      <c r="G77" s="24" t="s">
        <v>227</v>
      </c>
      <c r="H77" s="24"/>
      <c r="I77" s="24"/>
      <c r="J77" s="24"/>
      <c r="K77" s="24"/>
      <c r="L77" s="24"/>
      <c r="M77" s="24"/>
      <c r="N77" s="24"/>
    </row>
    <row r="78" spans="1:14" ht="15">
      <c r="A78" s="24">
        <v>74</v>
      </c>
      <c r="B78" s="24" t="s">
        <v>113</v>
      </c>
      <c r="C78" s="24" t="s">
        <v>114</v>
      </c>
      <c r="D78" s="24">
        <v>30</v>
      </c>
      <c r="E78" s="52">
        <f>AVERAGE(350000,850000)/2000000</f>
        <v>0.3</v>
      </c>
      <c r="F78" s="24" t="s">
        <v>115</v>
      </c>
      <c r="G78" s="24" t="s">
        <v>227</v>
      </c>
      <c r="H78" s="5" t="s">
        <v>745</v>
      </c>
      <c r="I78" s="24"/>
      <c r="J78" s="24"/>
      <c r="K78" s="24"/>
      <c r="L78" s="24"/>
      <c r="M78" s="24"/>
      <c r="N78" s="24"/>
    </row>
    <row r="79" spans="1:14" ht="15">
      <c r="A79" s="24">
        <v>75</v>
      </c>
      <c r="B79" s="24" t="s">
        <v>116</v>
      </c>
      <c r="C79" s="24" t="s">
        <v>117</v>
      </c>
      <c r="D79" s="24">
        <v>0</v>
      </c>
      <c r="E79" s="24"/>
      <c r="F79" s="24" t="s">
        <v>118</v>
      </c>
      <c r="G79" s="24" t="s">
        <v>227</v>
      </c>
      <c r="H79" s="24"/>
      <c r="I79" s="24"/>
      <c r="J79" s="24"/>
      <c r="K79" s="24"/>
      <c r="L79" s="24"/>
      <c r="M79" s="24"/>
      <c r="N79" s="24"/>
    </row>
    <row r="80" spans="1:14" ht="15">
      <c r="A80" s="24">
        <v>76</v>
      </c>
      <c r="B80" s="24" t="s">
        <v>119</v>
      </c>
      <c r="C80" s="24" t="s">
        <v>114</v>
      </c>
      <c r="D80" s="24">
        <v>30</v>
      </c>
      <c r="E80" s="51">
        <f>E78</f>
        <v>0.3</v>
      </c>
      <c r="F80" s="24" t="s">
        <v>120</v>
      </c>
      <c r="G80" s="24" t="s">
        <v>227</v>
      </c>
      <c r="H80" s="24"/>
      <c r="I80" s="24"/>
      <c r="J80" s="24"/>
      <c r="K80" s="24"/>
      <c r="L80" s="24"/>
      <c r="M80" s="24"/>
      <c r="N80" s="24"/>
    </row>
    <row r="81" spans="1:14" ht="15">
      <c r="A81" s="24">
        <v>77</v>
      </c>
      <c r="B81" s="24" t="s">
        <v>121</v>
      </c>
      <c r="C81" s="24" t="s">
        <v>122</v>
      </c>
      <c r="D81" s="24">
        <v>26</v>
      </c>
      <c r="E81" s="51">
        <f>((1-E78)^0.7)*((1-E78/2)^0.3)-1</f>
        <v>-0.25801640083217203</v>
      </c>
      <c r="F81" s="24" t="s">
        <v>61</v>
      </c>
      <c r="G81" s="24" t="s">
        <v>227</v>
      </c>
      <c r="H81" s="24"/>
      <c r="I81" s="24"/>
      <c r="J81" s="24"/>
      <c r="K81" s="24"/>
      <c r="L81" s="24"/>
      <c r="M81" s="24"/>
      <c r="N81" s="24"/>
    </row>
    <row r="82" spans="1:14" ht="15">
      <c r="A82" s="24">
        <v>78</v>
      </c>
      <c r="B82" s="24" t="s">
        <v>662</v>
      </c>
      <c r="C82" s="24" t="s">
        <v>160</v>
      </c>
      <c r="D82" s="24"/>
      <c r="E82" s="24"/>
      <c r="F82" s="24" t="s">
        <v>661</v>
      </c>
      <c r="G82" s="24" t="s">
        <v>227</v>
      </c>
      <c r="H82" s="24"/>
      <c r="I82" s="24"/>
      <c r="J82" s="24"/>
      <c r="K82" s="24"/>
      <c r="L82" s="24"/>
      <c r="M82" s="24"/>
      <c r="N82" s="24"/>
    </row>
    <row r="83" spans="1:14" ht="15">
      <c r="A83" s="24">
        <v>79</v>
      </c>
      <c r="B83" s="24" t="s">
        <v>660</v>
      </c>
      <c r="C83" s="24" t="s">
        <v>39</v>
      </c>
      <c r="D83" s="24">
        <v>2020</v>
      </c>
      <c r="E83" s="24"/>
      <c r="F83" s="24" t="s">
        <v>130</v>
      </c>
      <c r="G83" s="24" t="s">
        <v>227</v>
      </c>
      <c r="H83" s="24"/>
      <c r="I83" s="24"/>
      <c r="J83" s="24"/>
      <c r="K83" s="24"/>
      <c r="L83" s="24"/>
      <c r="M83" s="24"/>
      <c r="N83" s="24"/>
    </row>
    <row r="84" spans="1:14" ht="15">
      <c r="A84" s="24">
        <v>80</v>
      </c>
      <c r="B84" s="24" t="s">
        <v>659</v>
      </c>
      <c r="C84" s="48" t="s">
        <v>641</v>
      </c>
      <c r="D84" s="24">
        <v>28</v>
      </c>
      <c r="E84" s="53">
        <f>fromhome!F8</f>
        <v>-0.27659574468085113</v>
      </c>
      <c r="F84" s="24" t="s">
        <v>658</v>
      </c>
      <c r="G84" s="24" t="s">
        <v>227</v>
      </c>
      <c r="H84" s="24"/>
      <c r="I84" s="24"/>
      <c r="J84" s="24"/>
      <c r="K84" s="24"/>
      <c r="L84" s="24"/>
      <c r="M84" s="24"/>
      <c r="N84" s="24"/>
    </row>
    <row r="85" spans="1:14" ht="15">
      <c r="A85" s="24">
        <v>81</v>
      </c>
      <c r="B85" s="24" t="s">
        <v>657</v>
      </c>
      <c r="C85" s="24" t="s">
        <v>39</v>
      </c>
      <c r="D85" s="24">
        <v>2020</v>
      </c>
      <c r="E85" s="24"/>
      <c r="F85" s="24" t="s">
        <v>656</v>
      </c>
      <c r="G85" s="24" t="s">
        <v>227</v>
      </c>
      <c r="H85" s="24"/>
      <c r="I85" s="24"/>
      <c r="J85" s="24"/>
      <c r="K85" s="24"/>
      <c r="L85" s="24"/>
      <c r="M85" s="24"/>
      <c r="N85" s="24"/>
    </row>
    <row r="86" spans="1:14" ht="15">
      <c r="A86" s="24">
        <v>82</v>
      </c>
      <c r="B86" s="24" t="s">
        <v>655</v>
      </c>
      <c r="C86" s="24" t="s">
        <v>654</v>
      </c>
      <c r="D86" s="24">
        <v>59</v>
      </c>
      <c r="E86" s="52">
        <f>fromhome!$B$17</f>
        <v>0.593210027100271</v>
      </c>
      <c r="F86" s="24" t="s">
        <v>653</v>
      </c>
      <c r="G86" s="24" t="s">
        <v>227</v>
      </c>
      <c r="H86" s="24"/>
      <c r="I86" s="24"/>
      <c r="J86" s="24"/>
      <c r="K86" s="24"/>
      <c r="L86" s="24"/>
      <c r="M86" s="24"/>
      <c r="N86" s="24"/>
    </row>
    <row r="87" spans="1:14" ht="15">
      <c r="A87" s="24">
        <v>83</v>
      </c>
      <c r="B87" s="24" t="s">
        <v>652</v>
      </c>
      <c r="C87" s="24" t="s">
        <v>651</v>
      </c>
      <c r="D87" s="24">
        <v>61</v>
      </c>
      <c r="E87" s="52">
        <f>fromhome!$B$19</f>
        <v>0.6109607046070461</v>
      </c>
      <c r="F87" s="24" t="s">
        <v>650</v>
      </c>
      <c r="G87" s="24" t="s">
        <v>227</v>
      </c>
      <c r="H87" s="24"/>
      <c r="I87" s="24"/>
      <c r="J87" s="24"/>
      <c r="K87" s="24"/>
      <c r="L87" s="24"/>
      <c r="M87" s="24"/>
      <c r="N87" s="24"/>
    </row>
    <row r="88" spans="1:14" ht="15">
      <c r="A88" s="24">
        <v>84</v>
      </c>
      <c r="B88" s="24" t="s">
        <v>649</v>
      </c>
      <c r="C88" s="24" t="s">
        <v>177</v>
      </c>
      <c r="D88" s="24">
        <v>0.5</v>
      </c>
      <c r="E88" s="24"/>
      <c r="F88" s="24" t="s">
        <v>648</v>
      </c>
      <c r="G88" s="24" t="s">
        <v>227</v>
      </c>
      <c r="H88" s="24"/>
      <c r="I88" s="24"/>
      <c r="J88" s="24"/>
      <c r="K88" s="24"/>
      <c r="L88" s="24"/>
      <c r="M88" s="24"/>
      <c r="N88" s="24"/>
    </row>
    <row r="89" spans="1:14" ht="15">
      <c r="A89" s="24">
        <v>85</v>
      </c>
      <c r="B89" s="24" t="s">
        <v>647</v>
      </c>
      <c r="C89" s="24" t="s">
        <v>114</v>
      </c>
      <c r="D89" s="24">
        <v>30</v>
      </c>
      <c r="E89" s="51">
        <f>fromhome!F20</f>
        <v>-0.30104268292682934</v>
      </c>
      <c r="F89" s="24" t="s">
        <v>646</v>
      </c>
      <c r="G89" s="24" t="s">
        <v>227</v>
      </c>
      <c r="H89" s="24"/>
      <c r="I89" s="24"/>
      <c r="J89" s="24"/>
      <c r="K89" s="24"/>
      <c r="L89" s="24"/>
      <c r="M89" s="24"/>
      <c r="N89" s="24"/>
    </row>
    <row r="90" spans="1:14" ht="15">
      <c r="A90" s="24">
        <v>86</v>
      </c>
      <c r="B90" s="24" t="s">
        <v>645</v>
      </c>
      <c r="C90" s="24" t="s">
        <v>641</v>
      </c>
      <c r="D90" s="24">
        <v>28</v>
      </c>
      <c r="E90" s="51">
        <f>fromhome!F21</f>
        <v>-0.2840182737914382</v>
      </c>
      <c r="F90" s="24" t="s">
        <v>61</v>
      </c>
      <c r="G90" s="24" t="s">
        <v>227</v>
      </c>
      <c r="H90" s="24"/>
      <c r="I90" s="24"/>
      <c r="J90" s="24"/>
      <c r="K90" s="24"/>
      <c r="L90" s="24"/>
      <c r="M90" s="24"/>
      <c r="N90" s="24"/>
    </row>
    <row r="91" spans="1:14" ht="15">
      <c r="A91" s="24">
        <v>87</v>
      </c>
      <c r="B91" s="24" t="s">
        <v>644</v>
      </c>
      <c r="C91" s="24" t="s">
        <v>77</v>
      </c>
      <c r="D91" s="24">
        <v>1</v>
      </c>
      <c r="E91" s="24"/>
      <c r="F91" s="24" t="s">
        <v>643</v>
      </c>
      <c r="G91" s="48" t="s">
        <v>227</v>
      </c>
      <c r="H91" s="24"/>
      <c r="I91" s="24"/>
      <c r="J91" s="24"/>
      <c r="K91" s="24"/>
      <c r="L91" s="24"/>
      <c r="M91" s="24"/>
      <c r="N91" s="24"/>
    </row>
    <row r="92" spans="1:14" ht="15">
      <c r="A92" s="24">
        <v>88</v>
      </c>
      <c r="B92" s="24" t="s">
        <v>642</v>
      </c>
      <c r="C92" s="24" t="s">
        <v>641</v>
      </c>
      <c r="D92" s="24">
        <v>28</v>
      </c>
      <c r="E92" s="51">
        <f>E90</f>
        <v>-0.2840182737914382</v>
      </c>
      <c r="F92" s="24" t="s">
        <v>640</v>
      </c>
      <c r="G92" s="48" t="s">
        <v>227</v>
      </c>
      <c r="H92" s="24"/>
      <c r="I92" s="24"/>
      <c r="J92" s="24"/>
      <c r="K92" s="24"/>
      <c r="L92" s="24"/>
      <c r="M92" s="24"/>
      <c r="N92" s="24"/>
    </row>
    <row r="93" spans="1:14" ht="15">
      <c r="A93" s="24">
        <v>89</v>
      </c>
      <c r="B93" s="24" t="s">
        <v>639</v>
      </c>
      <c r="C93" s="24" t="s">
        <v>84</v>
      </c>
      <c r="D93" s="24">
        <v>1</v>
      </c>
      <c r="E93" s="24"/>
      <c r="F93" s="24" t="s">
        <v>638</v>
      </c>
      <c r="G93" s="24" t="s">
        <v>227</v>
      </c>
      <c r="H93" s="24"/>
      <c r="I93" s="24"/>
      <c r="J93" s="24"/>
      <c r="K93" s="24"/>
      <c r="L93" s="24"/>
      <c r="M93" s="24"/>
      <c r="N93" s="24"/>
    </row>
    <row r="94" spans="1:14" ht="15">
      <c r="A94" s="24">
        <v>90</v>
      </c>
      <c r="B94" s="24" t="s">
        <v>637</v>
      </c>
      <c r="C94" s="24" t="s">
        <v>71</v>
      </c>
      <c r="D94" s="24">
        <v>25</v>
      </c>
      <c r="E94" s="24">
        <f>E46</f>
        <v>25.1</v>
      </c>
      <c r="F94" s="24" t="s">
        <v>636</v>
      </c>
      <c r="G94" s="48" t="s">
        <v>227</v>
      </c>
      <c r="H94" s="24"/>
      <c r="I94" s="24"/>
      <c r="J94" s="24"/>
      <c r="K94" s="24"/>
      <c r="L94" s="24"/>
      <c r="M94" s="24"/>
      <c r="N94" s="24"/>
    </row>
    <row r="95" spans="1:14" ht="15">
      <c r="A95" s="24">
        <v>91</v>
      </c>
      <c r="B95" s="24" t="s">
        <v>631</v>
      </c>
      <c r="C95" s="24" t="s">
        <v>86</v>
      </c>
      <c r="D95" s="24">
        <v>8</v>
      </c>
      <c r="E95" s="24"/>
      <c r="F95" s="24" t="s">
        <v>635</v>
      </c>
      <c r="G95" s="24" t="s">
        <v>227</v>
      </c>
      <c r="H95" s="24"/>
      <c r="I95" s="24"/>
      <c r="J95" s="24"/>
      <c r="K95" s="24"/>
      <c r="L95" s="24"/>
      <c r="M95" s="24"/>
      <c r="N95" s="24"/>
    </row>
    <row r="96" spans="1:14" ht="15">
      <c r="A96" s="24">
        <v>92</v>
      </c>
      <c r="B96" s="24" t="s">
        <v>634</v>
      </c>
      <c r="C96" s="24" t="s">
        <v>633</v>
      </c>
      <c r="D96" s="24">
        <v>-26.7</v>
      </c>
      <c r="E96" s="53">
        <f>AVERAGE(-0.25,fromhome!$F$21)</f>
        <v>-0.2670091368957191</v>
      </c>
      <c r="F96" s="24" t="s">
        <v>632</v>
      </c>
      <c r="G96" s="24" t="s">
        <v>227</v>
      </c>
      <c r="H96" s="24"/>
      <c r="I96" s="24"/>
      <c r="J96" s="24"/>
      <c r="K96" s="24"/>
      <c r="L96" s="24"/>
      <c r="M96" s="24"/>
      <c r="N96" s="24"/>
    </row>
    <row r="97" spans="1:14" ht="15">
      <c r="A97" s="24">
        <v>93</v>
      </c>
      <c r="B97" s="24" t="s">
        <v>631</v>
      </c>
      <c r="C97" s="24" t="s">
        <v>86</v>
      </c>
      <c r="D97" s="24">
        <v>8</v>
      </c>
      <c r="E97" s="24"/>
      <c r="F97" s="24" t="s">
        <v>630</v>
      </c>
      <c r="G97" s="24" t="s">
        <v>227</v>
      </c>
      <c r="H97" s="24"/>
      <c r="I97" s="24"/>
      <c r="J97" s="24"/>
      <c r="K97" s="24"/>
      <c r="L97" s="24"/>
      <c r="M97" s="24"/>
      <c r="N97" s="24"/>
    </row>
    <row r="98" spans="1:14" ht="15">
      <c r="A98" s="24">
        <v>94</v>
      </c>
      <c r="B98" s="24" t="s">
        <v>123</v>
      </c>
      <c r="C98" s="24" t="s">
        <v>124</v>
      </c>
      <c r="D98" s="24">
        <v>0</v>
      </c>
      <c r="E98" s="24"/>
      <c r="F98" s="24" t="s">
        <v>125</v>
      </c>
      <c r="G98" s="24" t="s">
        <v>227</v>
      </c>
      <c r="H98" s="24"/>
      <c r="I98" s="24"/>
      <c r="J98" s="24"/>
      <c r="K98" s="24"/>
      <c r="L98" s="24"/>
      <c r="M98" s="24"/>
      <c r="N98" s="24"/>
    </row>
    <row r="99" spans="1:14" ht="15">
      <c r="A99" s="24">
        <v>95</v>
      </c>
      <c r="B99" s="24" t="s">
        <v>126</v>
      </c>
      <c r="C99" s="24" t="s">
        <v>71</v>
      </c>
      <c r="D99" s="24">
        <v>25</v>
      </c>
      <c r="E99" s="24"/>
      <c r="F99" s="24" t="s">
        <v>127</v>
      </c>
      <c r="G99" s="24" t="s">
        <v>227</v>
      </c>
      <c r="H99" s="24"/>
      <c r="I99" s="24"/>
      <c r="J99" s="24"/>
      <c r="K99" s="24"/>
      <c r="L99" s="24"/>
      <c r="M99" s="24"/>
      <c r="N99" s="24"/>
    </row>
    <row r="100" spans="1:14" ht="15">
      <c r="A100" s="24">
        <v>96</v>
      </c>
      <c r="B100" s="24" t="s">
        <v>128</v>
      </c>
      <c r="C100" s="24" t="s">
        <v>129</v>
      </c>
      <c r="D100" s="24">
        <v>2000</v>
      </c>
      <c r="E100" s="24"/>
      <c r="F100" s="24" t="s">
        <v>130</v>
      </c>
      <c r="G100" s="24" t="s">
        <v>227</v>
      </c>
      <c r="H100" s="24"/>
      <c r="I100" s="24"/>
      <c r="J100" s="24"/>
      <c r="K100" s="24"/>
      <c r="L100" s="24"/>
      <c r="M100" s="24"/>
      <c r="N100" s="24"/>
    </row>
    <row r="101" spans="1:14" ht="15">
      <c r="A101" s="24">
        <v>97</v>
      </c>
      <c r="B101" s="24" t="s">
        <v>629</v>
      </c>
      <c r="C101" s="24" t="s">
        <v>77</v>
      </c>
      <c r="D101" s="24">
        <v>1</v>
      </c>
      <c r="E101" s="24"/>
      <c r="F101" s="24" t="s">
        <v>628</v>
      </c>
      <c r="G101" s="48" t="s">
        <v>227</v>
      </c>
      <c r="H101" s="24"/>
      <c r="I101" s="24"/>
      <c r="J101" s="24"/>
      <c r="K101" s="24"/>
      <c r="L101" s="24"/>
      <c r="M101" s="24"/>
      <c r="N101" s="24"/>
    </row>
    <row r="102" spans="1:14" ht="15">
      <c r="A102" s="24">
        <v>98</v>
      </c>
      <c r="B102" s="24" t="s">
        <v>627</v>
      </c>
      <c r="C102" s="24" t="s">
        <v>626</v>
      </c>
      <c r="D102" s="24">
        <v>539</v>
      </c>
      <c r="E102" s="55">
        <f>Table1!G10</f>
        <v>538.5517151231359</v>
      </c>
      <c r="F102" s="24" t="s">
        <v>625</v>
      </c>
      <c r="G102" s="48" t="s">
        <v>227</v>
      </c>
      <c r="H102" s="24"/>
      <c r="I102" s="24"/>
      <c r="J102" s="24"/>
      <c r="K102" s="24"/>
      <c r="L102" s="24"/>
      <c r="M102" s="24"/>
      <c r="N102" s="24"/>
    </row>
    <row r="103" spans="1:14" ht="15">
      <c r="A103" s="24">
        <v>99</v>
      </c>
      <c r="B103" s="24" t="s">
        <v>131</v>
      </c>
      <c r="C103" s="24" t="s">
        <v>132</v>
      </c>
      <c r="D103" s="24">
        <v>1990</v>
      </c>
      <c r="E103" s="24"/>
      <c r="F103" s="24" t="s">
        <v>133</v>
      </c>
      <c r="G103" s="48" t="s">
        <v>227</v>
      </c>
      <c r="H103" s="24"/>
      <c r="I103" s="24"/>
      <c r="J103" s="24"/>
      <c r="K103" s="24"/>
      <c r="L103" s="24"/>
      <c r="M103" s="24"/>
      <c r="N103" s="24"/>
    </row>
    <row r="104" spans="1:14" ht="15">
      <c r="A104" s="24">
        <v>100</v>
      </c>
      <c r="B104" s="24" t="s">
        <v>134</v>
      </c>
      <c r="C104" s="24" t="s">
        <v>135</v>
      </c>
      <c r="D104" s="24">
        <v>1999</v>
      </c>
      <c r="E104" s="24"/>
      <c r="F104" s="24" t="s">
        <v>136</v>
      </c>
      <c r="G104" s="48" t="s">
        <v>227</v>
      </c>
      <c r="H104" s="24"/>
      <c r="I104" s="24"/>
      <c r="J104" s="24"/>
      <c r="K104" s="24"/>
      <c r="L104" s="24"/>
      <c r="M104" s="24"/>
      <c r="N104" s="24"/>
    </row>
    <row r="105" spans="1:14" ht="15">
      <c r="A105" s="24">
        <v>101</v>
      </c>
      <c r="B105" s="24" t="s">
        <v>137</v>
      </c>
      <c r="C105" s="24" t="s">
        <v>138</v>
      </c>
      <c r="D105" s="24">
        <v>2010</v>
      </c>
      <c r="E105" s="24"/>
      <c r="F105" s="24" t="s">
        <v>130</v>
      </c>
      <c r="G105" s="48" t="s">
        <v>227</v>
      </c>
      <c r="H105" s="24"/>
      <c r="I105" s="24"/>
      <c r="J105" s="24"/>
      <c r="K105" s="24"/>
      <c r="L105" s="24"/>
      <c r="M105" s="24"/>
      <c r="N105" s="24"/>
    </row>
    <row r="106" spans="1:14" ht="15">
      <c r="A106" s="24">
        <v>102</v>
      </c>
      <c r="B106" s="24" t="s">
        <v>624</v>
      </c>
      <c r="C106" s="24" t="s">
        <v>77</v>
      </c>
      <c r="D106" s="24">
        <v>1</v>
      </c>
      <c r="E106" s="24"/>
      <c r="F106" s="24" t="s">
        <v>623</v>
      </c>
      <c r="G106" s="48" t="s">
        <v>227</v>
      </c>
      <c r="H106" s="24"/>
      <c r="I106" s="24"/>
      <c r="J106" s="24"/>
      <c r="K106" s="24"/>
      <c r="L106" s="24"/>
      <c r="M106" s="24"/>
      <c r="N106" s="24"/>
    </row>
    <row r="107" spans="1:14" ht="15">
      <c r="A107" s="24">
        <v>103</v>
      </c>
      <c r="B107" s="24" t="s">
        <v>622</v>
      </c>
      <c r="C107" s="24" t="s">
        <v>323</v>
      </c>
      <c r="D107" s="24">
        <v>10</v>
      </c>
      <c r="E107" s="24"/>
      <c r="F107" s="24" t="s">
        <v>621</v>
      </c>
      <c r="G107" s="24" t="s">
        <v>227</v>
      </c>
      <c r="H107" s="24"/>
      <c r="I107" s="24"/>
      <c r="J107" s="24"/>
      <c r="K107" s="24"/>
      <c r="L107" s="24"/>
      <c r="M107" s="24"/>
      <c r="N107" s="24"/>
    </row>
    <row r="108" spans="1:14" ht="15">
      <c r="A108" s="24">
        <v>104</v>
      </c>
      <c r="B108" s="24" t="s">
        <v>620</v>
      </c>
      <c r="C108" s="24" t="s">
        <v>619</v>
      </c>
      <c r="D108" s="24">
        <v>2014</v>
      </c>
      <c r="E108" s="24"/>
      <c r="F108" s="24" t="s">
        <v>618</v>
      </c>
      <c r="G108" s="48" t="s">
        <v>227</v>
      </c>
      <c r="H108" s="24"/>
      <c r="I108" s="24"/>
      <c r="J108" s="24"/>
      <c r="K108" s="24"/>
      <c r="L108" s="24"/>
      <c r="M108" s="24"/>
      <c r="N108" s="24"/>
    </row>
    <row r="109" spans="1:14" ht="15">
      <c r="A109" s="24">
        <v>105</v>
      </c>
      <c r="B109" s="24" t="s">
        <v>617</v>
      </c>
      <c r="C109" s="24" t="s">
        <v>181</v>
      </c>
      <c r="D109" s="24">
        <v>2012</v>
      </c>
      <c r="E109" s="24"/>
      <c r="F109" s="24" t="s">
        <v>616</v>
      </c>
      <c r="G109" s="48" t="s">
        <v>227</v>
      </c>
      <c r="H109" s="24"/>
      <c r="I109" s="24"/>
      <c r="J109" s="24"/>
      <c r="K109" s="24"/>
      <c r="L109" s="24"/>
      <c r="M109" s="24"/>
      <c r="N109" s="24"/>
    </row>
    <row r="110" spans="1:14" ht="15">
      <c r="A110" s="24">
        <v>106</v>
      </c>
      <c r="B110" s="24" t="s">
        <v>615</v>
      </c>
      <c r="C110" s="24" t="s">
        <v>99</v>
      </c>
      <c r="D110" s="24">
        <v>10</v>
      </c>
      <c r="E110" s="24"/>
      <c r="F110" s="24" t="s">
        <v>130</v>
      </c>
      <c r="G110" s="48" t="s">
        <v>227</v>
      </c>
      <c r="H110" s="24"/>
      <c r="I110" s="24"/>
      <c r="J110" s="24"/>
      <c r="K110" s="24"/>
      <c r="L110" s="24"/>
      <c r="M110" s="24"/>
      <c r="N110" s="24"/>
    </row>
    <row r="111" spans="1:14" ht="15">
      <c r="A111" s="24">
        <v>107</v>
      </c>
      <c r="B111" s="24" t="s">
        <v>614</v>
      </c>
      <c r="C111" s="24" t="s">
        <v>323</v>
      </c>
      <c r="D111" s="24">
        <v>10</v>
      </c>
      <c r="E111" s="24"/>
      <c r="F111" s="24" t="s">
        <v>613</v>
      </c>
      <c r="G111" s="24" t="s">
        <v>227</v>
      </c>
      <c r="H111" s="24"/>
      <c r="I111" s="24"/>
      <c r="J111" s="24"/>
      <c r="K111" s="24"/>
      <c r="L111" s="24"/>
      <c r="M111" s="24"/>
      <c r="N111" s="24"/>
    </row>
    <row r="112" spans="1:14" ht="15">
      <c r="A112" s="24">
        <v>108</v>
      </c>
      <c r="B112" s="24" t="s">
        <v>612</v>
      </c>
      <c r="C112" s="24" t="s">
        <v>139</v>
      </c>
      <c r="D112" s="24">
        <v>2</v>
      </c>
      <c r="E112" s="24"/>
      <c r="F112" s="24" t="s">
        <v>611</v>
      </c>
      <c r="G112" s="48" t="s">
        <v>227</v>
      </c>
      <c r="H112" s="24"/>
      <c r="I112" s="24"/>
      <c r="J112" s="24"/>
      <c r="K112" s="24"/>
      <c r="L112" s="24"/>
      <c r="M112" s="24"/>
      <c r="N112" s="24"/>
    </row>
    <row r="113" spans="1:14" ht="15">
      <c r="A113" s="24">
        <v>109</v>
      </c>
      <c r="B113" s="24" t="s">
        <v>610</v>
      </c>
      <c r="C113" s="24" t="s">
        <v>39</v>
      </c>
      <c r="D113" s="24">
        <v>2020</v>
      </c>
      <c r="E113" s="24"/>
      <c r="F113" s="24" t="s">
        <v>609</v>
      </c>
      <c r="G113" s="48" t="s">
        <v>227</v>
      </c>
      <c r="H113" s="24"/>
      <c r="I113" s="24"/>
      <c r="J113" s="24"/>
      <c r="K113" s="24"/>
      <c r="L113" s="24"/>
      <c r="M113" s="24"/>
      <c r="N113" s="24"/>
    </row>
    <row r="114" spans="1:14" ht="15">
      <c r="A114" s="24">
        <v>110</v>
      </c>
      <c r="B114" s="24" t="s">
        <v>608</v>
      </c>
      <c r="C114" s="24" t="s">
        <v>39</v>
      </c>
      <c r="D114" s="24">
        <v>2020</v>
      </c>
      <c r="E114" s="24"/>
      <c r="F114" s="24" t="s">
        <v>607</v>
      </c>
      <c r="G114" s="48" t="s">
        <v>227</v>
      </c>
      <c r="H114" s="24"/>
      <c r="I114" s="24"/>
      <c r="J114" s="24"/>
      <c r="K114" s="24"/>
      <c r="L114" s="24"/>
      <c r="M114" s="24"/>
      <c r="N114" s="24"/>
    </row>
    <row r="115" spans="1:14" ht="15">
      <c r="A115" s="24">
        <v>111</v>
      </c>
      <c r="B115" s="24" t="s">
        <v>606</v>
      </c>
      <c r="C115" s="24" t="s">
        <v>595</v>
      </c>
      <c r="D115" s="24">
        <v>1.95</v>
      </c>
      <c r="E115" s="56">
        <f>E25</f>
        <v>-1.951</v>
      </c>
      <c r="F115" s="24" t="s">
        <v>605</v>
      </c>
      <c r="G115" s="48" t="s">
        <v>227</v>
      </c>
      <c r="H115" t="s">
        <v>751</v>
      </c>
      <c r="I115" s="24"/>
      <c r="J115" s="24"/>
      <c r="K115" s="24"/>
      <c r="L115" s="24"/>
      <c r="M115" s="24"/>
      <c r="N115" s="24"/>
    </row>
    <row r="116" spans="1:14" ht="15">
      <c r="A116" s="24">
        <v>112</v>
      </c>
      <c r="B116" s="24" t="s">
        <v>604</v>
      </c>
      <c r="C116" s="24" t="s">
        <v>177</v>
      </c>
      <c r="D116" s="24">
        <v>0.5</v>
      </c>
      <c r="E116" s="24"/>
      <c r="F116" s="24" t="s">
        <v>603</v>
      </c>
      <c r="G116" s="48" t="s">
        <v>227</v>
      </c>
      <c r="H116" s="24" t="s">
        <v>752</v>
      </c>
      <c r="I116" s="24"/>
      <c r="J116" s="24"/>
      <c r="K116" s="24"/>
      <c r="L116" s="24"/>
      <c r="M116" s="24"/>
      <c r="N116" s="24"/>
    </row>
    <row r="117" spans="1:14" ht="15">
      <c r="A117" s="24">
        <v>113</v>
      </c>
      <c r="B117" s="24" t="s">
        <v>602</v>
      </c>
      <c r="C117" s="24" t="s">
        <v>84</v>
      </c>
      <c r="D117" s="24">
        <v>1</v>
      </c>
      <c r="E117" s="24"/>
      <c r="F117" s="24" t="s">
        <v>601</v>
      </c>
      <c r="G117" s="48" t="s">
        <v>227</v>
      </c>
      <c r="H117" s="24"/>
      <c r="I117" s="24"/>
      <c r="J117" s="24"/>
      <c r="K117" s="24"/>
      <c r="L117" s="24"/>
      <c r="M117" s="24"/>
      <c r="N117" s="24"/>
    </row>
    <row r="118" spans="1:14" ht="15">
      <c r="A118" s="24">
        <v>114</v>
      </c>
      <c r="B118" s="24" t="s">
        <v>600</v>
      </c>
      <c r="C118" s="24" t="s">
        <v>177</v>
      </c>
      <c r="D118" s="24">
        <v>0.5</v>
      </c>
      <c r="E118" s="24"/>
      <c r="F118" s="24" t="s">
        <v>599</v>
      </c>
      <c r="G118" s="48" t="s">
        <v>227</v>
      </c>
      <c r="H118" s="24"/>
      <c r="I118" s="24"/>
      <c r="J118" s="24"/>
      <c r="K118" s="24"/>
      <c r="L118" s="24"/>
      <c r="M118" s="24"/>
      <c r="N118" s="24"/>
    </row>
    <row r="119" spans="1:14" ht="15">
      <c r="A119" s="24">
        <v>115</v>
      </c>
      <c r="B119" s="24" t="s">
        <v>598</v>
      </c>
      <c r="C119" s="24" t="s">
        <v>86</v>
      </c>
      <c r="D119" s="24">
        <v>8</v>
      </c>
      <c r="E119" s="24"/>
      <c r="F119" s="24" t="s">
        <v>597</v>
      </c>
      <c r="G119" s="24" t="s">
        <v>227</v>
      </c>
      <c r="H119" s="24"/>
      <c r="I119" s="24"/>
      <c r="J119" s="24"/>
      <c r="K119" s="24"/>
      <c r="L119" s="24"/>
      <c r="M119" s="24"/>
      <c r="N119" s="24"/>
    </row>
    <row r="120" spans="1:14" ht="15">
      <c r="A120" s="24">
        <v>116</v>
      </c>
      <c r="B120" s="24" t="s">
        <v>596</v>
      </c>
      <c r="C120" s="24" t="s">
        <v>595</v>
      </c>
      <c r="D120" s="24">
        <v>1.95</v>
      </c>
      <c r="E120" s="56">
        <f>E115</f>
        <v>-1.951</v>
      </c>
      <c r="F120" s="24" t="s">
        <v>81</v>
      </c>
      <c r="G120" s="24" t="s">
        <v>227</v>
      </c>
      <c r="H120" s="24"/>
      <c r="I120" s="24"/>
      <c r="J120" s="24"/>
      <c r="K120" s="24"/>
      <c r="L120" s="24"/>
      <c r="M120" s="24"/>
      <c r="N120" s="24"/>
    </row>
    <row r="121" spans="1:14" ht="15">
      <c r="A121" s="24">
        <v>117</v>
      </c>
      <c r="B121" s="24" t="s">
        <v>594</v>
      </c>
      <c r="C121" s="24" t="s">
        <v>181</v>
      </c>
      <c r="D121" s="24">
        <v>2012</v>
      </c>
      <c r="E121" s="24"/>
      <c r="F121" s="24" t="s">
        <v>130</v>
      </c>
      <c r="G121" s="24" t="s">
        <v>227</v>
      </c>
      <c r="H121" s="24"/>
      <c r="I121" s="24"/>
      <c r="J121" s="24"/>
      <c r="K121" s="24"/>
      <c r="L121" s="24"/>
      <c r="M121" s="24"/>
      <c r="N121" s="24"/>
    </row>
    <row r="122" spans="1:14" ht="15">
      <c r="A122" s="24">
        <v>118</v>
      </c>
      <c r="B122" s="24" t="s">
        <v>593</v>
      </c>
      <c r="C122" s="24" t="s">
        <v>141</v>
      </c>
      <c r="D122" s="24">
        <v>1</v>
      </c>
      <c r="E122" s="24"/>
      <c r="F122" s="24"/>
      <c r="G122" s="48" t="s">
        <v>227</v>
      </c>
      <c r="H122" s="24"/>
      <c r="I122" s="24"/>
      <c r="J122" s="24"/>
      <c r="K122" s="24"/>
      <c r="L122" s="24"/>
      <c r="M122" s="24"/>
      <c r="N122" s="24"/>
    </row>
    <row r="123" spans="1:14" ht="15">
      <c r="A123" s="24">
        <v>119</v>
      </c>
      <c r="B123" s="24" t="s">
        <v>592</v>
      </c>
      <c r="C123" s="24" t="s">
        <v>139</v>
      </c>
      <c r="D123" s="24">
        <v>2</v>
      </c>
      <c r="E123" s="24"/>
      <c r="F123" s="24" t="s">
        <v>140</v>
      </c>
      <c r="G123" s="24" t="s">
        <v>227</v>
      </c>
      <c r="H123" s="24"/>
      <c r="I123" s="24"/>
      <c r="J123" s="24"/>
      <c r="K123" s="24"/>
      <c r="L123" s="24"/>
      <c r="M123" s="24"/>
      <c r="N123" s="24"/>
    </row>
    <row r="124" spans="1:14" ht="15">
      <c r="A124" s="24">
        <v>120</v>
      </c>
      <c r="B124" s="24" t="s">
        <v>591</v>
      </c>
      <c r="C124" s="24" t="s">
        <v>141</v>
      </c>
      <c r="D124" s="24">
        <v>1</v>
      </c>
      <c r="E124" s="24"/>
      <c r="F124" s="24"/>
      <c r="G124" s="48" t="s">
        <v>227</v>
      </c>
      <c r="H124" s="24"/>
      <c r="I124" s="24"/>
      <c r="J124" s="24"/>
      <c r="K124" s="24"/>
      <c r="L124" s="24"/>
      <c r="M124" s="24"/>
      <c r="N124" s="24"/>
    </row>
    <row r="125" spans="1:14" ht="15">
      <c r="A125" s="24">
        <v>121</v>
      </c>
      <c r="B125" s="24" t="s">
        <v>142</v>
      </c>
      <c r="C125" s="24" t="s">
        <v>139</v>
      </c>
      <c r="D125" s="24">
        <v>2</v>
      </c>
      <c r="E125" s="24"/>
      <c r="F125" s="24" t="s">
        <v>143</v>
      </c>
      <c r="G125" s="24" t="s">
        <v>227</v>
      </c>
      <c r="H125" s="24"/>
      <c r="I125" s="24"/>
      <c r="J125" s="24"/>
      <c r="K125" s="24"/>
      <c r="L125" s="24"/>
      <c r="M125" s="24"/>
      <c r="N125" s="24"/>
    </row>
    <row r="126" spans="1:14" ht="15">
      <c r="A126" s="24">
        <v>122</v>
      </c>
      <c r="B126" s="24" t="s">
        <v>590</v>
      </c>
      <c r="C126" s="24" t="s">
        <v>84</v>
      </c>
      <c r="D126" s="24">
        <v>1</v>
      </c>
      <c r="E126" s="24"/>
      <c r="F126" s="24" t="s">
        <v>589</v>
      </c>
      <c r="G126" s="24" t="s">
        <v>227</v>
      </c>
      <c r="H126" s="24"/>
      <c r="I126" s="24"/>
      <c r="J126" s="24"/>
      <c r="K126" s="24"/>
      <c r="L126" s="24"/>
      <c r="M126" s="24"/>
      <c r="N126" s="24"/>
    </row>
    <row r="127" spans="1:14" ht="15">
      <c r="A127" s="24">
        <v>123</v>
      </c>
      <c r="B127" s="24" t="s">
        <v>144</v>
      </c>
      <c r="C127" s="24" t="s">
        <v>139</v>
      </c>
      <c r="D127" s="24">
        <v>2</v>
      </c>
      <c r="E127" s="24"/>
      <c r="F127" s="24" t="s">
        <v>588</v>
      </c>
      <c r="G127" s="24" t="s">
        <v>227</v>
      </c>
      <c r="H127" s="24"/>
      <c r="I127" s="24"/>
      <c r="J127" s="24"/>
      <c r="K127" s="24"/>
      <c r="L127" s="24"/>
      <c r="M127" s="24"/>
      <c r="N127" s="24"/>
    </row>
    <row r="128" spans="1:14" ht="15">
      <c r="A128" s="24">
        <v>124</v>
      </c>
      <c r="B128" s="24" t="s">
        <v>145</v>
      </c>
      <c r="C128" s="24" t="s">
        <v>146</v>
      </c>
      <c r="D128" s="24">
        <v>49</v>
      </c>
      <c r="E128" s="24"/>
      <c r="F128" s="24" t="s">
        <v>147</v>
      </c>
      <c r="G128" s="24" t="s">
        <v>227</v>
      </c>
      <c r="H128" s="24" t="s">
        <v>754</v>
      </c>
      <c r="I128" s="24"/>
      <c r="J128" s="24"/>
      <c r="K128" s="24"/>
      <c r="L128" s="24"/>
      <c r="M128" s="24"/>
      <c r="N128" s="24"/>
    </row>
    <row r="129" spans="1:14" ht="15">
      <c r="A129" s="24">
        <v>125</v>
      </c>
      <c r="B129" s="24" t="s">
        <v>148</v>
      </c>
      <c r="C129" s="24" t="s">
        <v>149</v>
      </c>
      <c r="D129" s="24">
        <v>48</v>
      </c>
      <c r="E129" s="24"/>
      <c r="F129" s="24" t="s">
        <v>150</v>
      </c>
      <c r="G129" s="24" t="s">
        <v>227</v>
      </c>
      <c r="H129" s="24" t="s">
        <v>755</v>
      </c>
      <c r="I129" s="24"/>
      <c r="J129" s="24"/>
      <c r="K129" s="24"/>
      <c r="L129" s="24"/>
      <c r="M129" s="24"/>
      <c r="N129" s="24"/>
    </row>
    <row r="130" spans="1:14" ht="15">
      <c r="A130" s="24">
        <v>126</v>
      </c>
      <c r="B130" s="24" t="s">
        <v>151</v>
      </c>
      <c r="C130" s="24" t="s">
        <v>152</v>
      </c>
      <c r="D130" s="24">
        <v>7</v>
      </c>
      <c r="E130" s="50">
        <f>Table1!$E$8</f>
        <v>7.07348691112214</v>
      </c>
      <c r="F130" s="24" t="s">
        <v>153</v>
      </c>
      <c r="G130" s="24" t="s">
        <v>227</v>
      </c>
      <c r="H130" s="24"/>
      <c r="I130" s="24"/>
      <c r="J130" s="24"/>
      <c r="K130" s="24"/>
      <c r="L130" s="24"/>
      <c r="M130" s="24"/>
      <c r="N130" s="24"/>
    </row>
    <row r="131" spans="1:14" ht="15">
      <c r="A131" s="24">
        <v>127</v>
      </c>
      <c r="B131" s="24" t="s">
        <v>154</v>
      </c>
      <c r="C131" s="24" t="s">
        <v>77</v>
      </c>
      <c r="D131" s="24">
        <v>1</v>
      </c>
      <c r="E131" s="24"/>
      <c r="F131" s="24" t="s">
        <v>155</v>
      </c>
      <c r="G131" s="48" t="s">
        <v>227</v>
      </c>
      <c r="H131" s="24"/>
      <c r="I131" s="24"/>
      <c r="J131" s="24"/>
      <c r="K131" s="24"/>
      <c r="L131" s="24"/>
      <c r="M131" s="24"/>
      <c r="N131" s="24"/>
    </row>
    <row r="132" spans="1:14" ht="15">
      <c r="A132" s="24">
        <v>128</v>
      </c>
      <c r="B132" s="24" t="s">
        <v>156</v>
      </c>
      <c r="C132" s="24" t="s">
        <v>114</v>
      </c>
      <c r="D132" s="24">
        <v>30</v>
      </c>
      <c r="E132" s="52">
        <f>E130/Table1!$E$6</f>
        <v>-0.30000000000000004</v>
      </c>
      <c r="F132" s="24" t="s">
        <v>157</v>
      </c>
      <c r="G132" s="48" t="s">
        <v>227</v>
      </c>
      <c r="H132" s="24" t="s">
        <v>753</v>
      </c>
      <c r="I132" s="24"/>
      <c r="J132" s="24"/>
      <c r="K132" s="24"/>
      <c r="L132" s="24"/>
      <c r="M132" s="24"/>
      <c r="N132" s="24"/>
    </row>
    <row r="133" spans="1:14" ht="15">
      <c r="A133" s="24">
        <v>129</v>
      </c>
      <c r="B133" s="24" t="s">
        <v>158</v>
      </c>
      <c r="C133" s="24" t="s">
        <v>139</v>
      </c>
      <c r="D133" s="24">
        <v>2</v>
      </c>
      <c r="E133" s="51">
        <f>1+E132</f>
        <v>0.7</v>
      </c>
      <c r="F133" s="24" t="s">
        <v>587</v>
      </c>
      <c r="G133" s="48" t="s">
        <v>227</v>
      </c>
      <c r="H133" s="24"/>
      <c r="I133" s="24"/>
      <c r="J133" s="24"/>
      <c r="K133" s="24"/>
      <c r="L133" s="24"/>
      <c r="M133" s="24"/>
      <c r="N133" s="24"/>
    </row>
    <row r="134" spans="1:14" ht="15">
      <c r="A134" s="24">
        <v>130</v>
      </c>
      <c r="B134" s="24" t="s">
        <v>159</v>
      </c>
      <c r="C134" s="24" t="s">
        <v>160</v>
      </c>
      <c r="D134" s="24"/>
      <c r="E134" s="24"/>
      <c r="F134" s="24" t="s">
        <v>586</v>
      </c>
      <c r="G134" s="48" t="s">
        <v>227</v>
      </c>
      <c r="H134" s="24"/>
      <c r="I134" s="24"/>
      <c r="J134" s="24"/>
      <c r="K134" s="24"/>
      <c r="L134" s="24"/>
      <c r="M134" s="24"/>
      <c r="N134" s="24"/>
    </row>
    <row r="135" spans="1:14" ht="15">
      <c r="A135" s="24">
        <v>131</v>
      </c>
      <c r="B135" s="24" t="s">
        <v>161</v>
      </c>
      <c r="C135" s="24" t="s">
        <v>585</v>
      </c>
      <c r="D135" s="24">
        <v>24</v>
      </c>
      <c r="E135" s="57">
        <f>Table1!$E$6</f>
        <v>-23.578289703740463</v>
      </c>
      <c r="F135" s="24" t="s">
        <v>162</v>
      </c>
      <c r="G135" s="48" t="s">
        <v>227</v>
      </c>
      <c r="H135" s="24"/>
      <c r="I135" s="24"/>
      <c r="J135" s="24"/>
      <c r="K135" s="24"/>
      <c r="L135" s="24"/>
      <c r="M135" s="24"/>
      <c r="N135" s="24"/>
    </row>
    <row r="136" spans="1:14" ht="15">
      <c r="A136" s="24">
        <v>132</v>
      </c>
      <c r="B136" s="24" t="s">
        <v>163</v>
      </c>
      <c r="C136" s="24" t="s">
        <v>164</v>
      </c>
      <c r="D136" s="24">
        <v>73</v>
      </c>
      <c r="E136" s="55">
        <f>E26</f>
        <v>72.97916666666667</v>
      </c>
      <c r="F136" s="24" t="s">
        <v>165</v>
      </c>
      <c r="G136" s="48" t="s">
        <v>227</v>
      </c>
      <c r="H136" s="24"/>
      <c r="I136" s="24"/>
      <c r="J136" s="24"/>
      <c r="K136" s="24"/>
      <c r="L136" s="24"/>
      <c r="M136" s="24"/>
      <c r="N136" s="24"/>
    </row>
    <row r="137" spans="1:14" ht="15">
      <c r="A137" s="24">
        <v>133</v>
      </c>
      <c r="B137" s="24" t="s">
        <v>584</v>
      </c>
      <c r="C137" s="24" t="s">
        <v>84</v>
      </c>
      <c r="D137" s="24">
        <v>1</v>
      </c>
      <c r="E137" s="24"/>
      <c r="F137" s="24" t="s">
        <v>583</v>
      </c>
      <c r="G137" s="24" t="s">
        <v>227</v>
      </c>
      <c r="H137" s="24"/>
      <c r="I137" s="24"/>
      <c r="J137" s="24"/>
      <c r="K137" s="24"/>
      <c r="L137" s="24"/>
      <c r="M137" s="24"/>
      <c r="N137" s="24"/>
    </row>
    <row r="138" spans="1:14" ht="15">
      <c r="A138" s="24">
        <v>134</v>
      </c>
      <c r="B138" s="24" t="s">
        <v>582</v>
      </c>
      <c r="C138" s="24" t="s">
        <v>84</v>
      </c>
      <c r="D138" s="24">
        <v>1</v>
      </c>
      <c r="E138" s="24"/>
      <c r="F138" s="24" t="s">
        <v>581</v>
      </c>
      <c r="G138" s="24" t="s">
        <v>227</v>
      </c>
      <c r="H138" s="24"/>
      <c r="I138" s="24"/>
      <c r="J138" s="24"/>
      <c r="K138" s="24"/>
      <c r="L138" s="24"/>
      <c r="M138" s="24"/>
      <c r="N138" s="24"/>
    </row>
    <row r="139" spans="1:14" ht="15">
      <c r="A139" s="24">
        <v>135</v>
      </c>
      <c r="B139" s="24" t="s">
        <v>580</v>
      </c>
      <c r="C139" s="24" t="s">
        <v>139</v>
      </c>
      <c r="D139" s="24">
        <v>2</v>
      </c>
      <c r="E139" s="24"/>
      <c r="F139" s="24" t="s">
        <v>579</v>
      </c>
      <c r="G139" s="24" t="s">
        <v>227</v>
      </c>
      <c r="H139" s="24"/>
      <c r="I139" s="24"/>
      <c r="J139" s="24"/>
      <c r="K139" s="24"/>
      <c r="L139" s="24"/>
      <c r="M139" s="24"/>
      <c r="N139" s="24"/>
    </row>
    <row r="140" spans="1:14" ht="15">
      <c r="A140" s="24">
        <v>136</v>
      </c>
      <c r="B140" s="24" t="s">
        <v>578</v>
      </c>
      <c r="C140" s="24" t="s">
        <v>84</v>
      </c>
      <c r="D140" s="24">
        <v>1</v>
      </c>
      <c r="E140" s="24"/>
      <c r="F140" s="24" t="s">
        <v>577</v>
      </c>
      <c r="G140" s="24" t="s">
        <v>227</v>
      </c>
      <c r="H140" s="24"/>
      <c r="I140" s="24"/>
      <c r="J140" s="24"/>
      <c r="K140" s="24"/>
      <c r="L140" s="24"/>
      <c r="M140" s="24"/>
      <c r="N140" s="24"/>
    </row>
    <row r="141" spans="1:14" ht="15">
      <c r="A141" s="24">
        <v>137</v>
      </c>
      <c r="B141" s="24" t="s">
        <v>576</v>
      </c>
      <c r="C141" s="24" t="s">
        <v>166</v>
      </c>
      <c r="D141" s="24">
        <v>370</v>
      </c>
      <c r="E141" s="24">
        <v>370</v>
      </c>
      <c r="F141" s="24" t="s">
        <v>167</v>
      </c>
      <c r="G141" s="24" t="s">
        <v>227</v>
      </c>
      <c r="H141" s="24" t="s">
        <v>756</v>
      </c>
      <c r="I141" s="24"/>
      <c r="J141" s="24"/>
      <c r="K141" s="24"/>
      <c r="L141" s="24"/>
      <c r="M141" s="24"/>
      <c r="N141" s="24"/>
    </row>
    <row r="142" spans="1:14" ht="15">
      <c r="A142" s="24">
        <v>138</v>
      </c>
      <c r="B142" s="24" t="s">
        <v>575</v>
      </c>
      <c r="C142" s="24" t="s">
        <v>168</v>
      </c>
      <c r="D142" s="24">
        <v>2018</v>
      </c>
      <c r="E142" s="24"/>
      <c r="F142" s="24"/>
      <c r="G142" s="24" t="s">
        <v>227</v>
      </c>
      <c r="H142" s="24"/>
      <c r="I142" s="24"/>
      <c r="J142" s="24"/>
      <c r="K142" s="24"/>
      <c r="L142" s="24"/>
      <c r="M142" s="24"/>
      <c r="N142" s="24"/>
    </row>
    <row r="143" spans="1:14" ht="15">
      <c r="A143" s="24">
        <v>139</v>
      </c>
      <c r="B143" s="24" t="s">
        <v>574</v>
      </c>
      <c r="C143" s="24" t="s">
        <v>169</v>
      </c>
      <c r="D143" s="24">
        <v>2013</v>
      </c>
      <c r="E143" s="24"/>
      <c r="F143" s="24" t="s">
        <v>573</v>
      </c>
      <c r="G143" s="24" t="s">
        <v>227</v>
      </c>
      <c r="H143" s="24"/>
      <c r="I143" s="24"/>
      <c r="J143" s="24"/>
      <c r="K143" s="24"/>
      <c r="L143" s="24"/>
      <c r="M143" s="24"/>
      <c r="N143" s="24"/>
    </row>
    <row r="144" spans="1:14" ht="15">
      <c r="A144" s="24">
        <v>140</v>
      </c>
      <c r="B144" s="24" t="s">
        <v>572</v>
      </c>
      <c r="C144" s="24" t="s">
        <v>84</v>
      </c>
      <c r="D144" s="24">
        <v>1</v>
      </c>
      <c r="E144" s="24"/>
      <c r="F144" s="24" t="s">
        <v>571</v>
      </c>
      <c r="G144" s="24" t="s">
        <v>227</v>
      </c>
      <c r="H144" s="24"/>
      <c r="I144" s="24"/>
      <c r="J144" s="24"/>
      <c r="K144" s="24"/>
      <c r="L144" s="24"/>
      <c r="M144" s="24"/>
      <c r="N144" s="24"/>
    </row>
    <row r="145" spans="1:14" ht="15">
      <c r="A145" s="24">
        <v>141</v>
      </c>
      <c r="B145" s="24" t="s">
        <v>570</v>
      </c>
      <c r="C145" s="24" t="s">
        <v>170</v>
      </c>
      <c r="D145" s="24">
        <v>102</v>
      </c>
      <c r="E145" s="52">
        <v>1.02</v>
      </c>
      <c r="F145" s="24" t="s">
        <v>171</v>
      </c>
      <c r="G145" s="24" t="s">
        <v>227</v>
      </c>
      <c r="H145" s="24" t="s">
        <v>757</v>
      </c>
      <c r="I145" s="24"/>
      <c r="J145" s="24"/>
      <c r="K145" s="24"/>
      <c r="L145" s="24"/>
      <c r="M145" s="24"/>
      <c r="N145" s="24"/>
    </row>
    <row r="146" spans="1:14" ht="15">
      <c r="A146" s="24">
        <v>142</v>
      </c>
      <c r="B146" s="24" t="s">
        <v>569</v>
      </c>
      <c r="C146" s="24" t="s">
        <v>172</v>
      </c>
      <c r="D146" s="24">
        <v>377</v>
      </c>
      <c r="E146" s="24">
        <f>E141*E145</f>
        <v>377.40000000000003</v>
      </c>
      <c r="F146" s="24" t="s">
        <v>173</v>
      </c>
      <c r="G146" s="24" t="s">
        <v>227</v>
      </c>
      <c r="H146" s="24"/>
      <c r="I146" s="24"/>
      <c r="J146" s="24"/>
      <c r="K146" s="24"/>
      <c r="L146" s="24"/>
      <c r="M146" s="24"/>
      <c r="N146" s="24"/>
    </row>
    <row r="147" spans="1:14" ht="15">
      <c r="A147" s="24">
        <v>143</v>
      </c>
      <c r="B147" s="24" t="s">
        <v>568</v>
      </c>
      <c r="C147" s="24" t="s">
        <v>174</v>
      </c>
      <c r="D147" s="24">
        <v>2018</v>
      </c>
      <c r="E147" s="24"/>
      <c r="F147" s="24" t="s">
        <v>175</v>
      </c>
      <c r="G147" s="24" t="s">
        <v>227</v>
      </c>
      <c r="H147" s="24"/>
      <c r="I147" s="24"/>
      <c r="J147" s="24"/>
      <c r="K147" s="24"/>
      <c r="L147" s="24"/>
      <c r="M147" s="24"/>
      <c r="N147" s="24"/>
    </row>
    <row r="148" spans="1:14" ht="15">
      <c r="A148" s="24">
        <v>144</v>
      </c>
      <c r="B148" s="24" t="s">
        <v>567</v>
      </c>
      <c r="C148" s="48" t="s">
        <v>758</v>
      </c>
      <c r="D148" s="24">
        <v>4.3</v>
      </c>
      <c r="E148" s="56">
        <f>E146*1000/(Schooling!$B$17*Schooling!$B$18*E136)</f>
        <v>4.326756067948643</v>
      </c>
      <c r="F148" s="24" t="s">
        <v>176</v>
      </c>
      <c r="G148" s="24" t="s">
        <v>227</v>
      </c>
      <c r="H148" s="24"/>
      <c r="I148" s="24"/>
      <c r="J148" s="24"/>
      <c r="K148" s="24"/>
      <c r="L148" s="24"/>
      <c r="M148" s="24"/>
      <c r="N148" s="24"/>
    </row>
    <row r="149" spans="1:14" ht="15">
      <c r="A149" s="24">
        <v>145</v>
      </c>
      <c r="B149" s="24" t="s">
        <v>566</v>
      </c>
      <c r="C149" s="24" t="s">
        <v>84</v>
      </c>
      <c r="D149" s="24">
        <v>1</v>
      </c>
      <c r="E149" s="24"/>
      <c r="F149" s="24" t="s">
        <v>565</v>
      </c>
      <c r="G149" s="24" t="s">
        <v>227</v>
      </c>
      <c r="H149" s="24"/>
      <c r="I149" s="24"/>
      <c r="J149" s="24"/>
      <c r="K149" s="24"/>
      <c r="L149" s="24"/>
      <c r="M149" s="24"/>
      <c r="N149" s="24"/>
    </row>
    <row r="150" spans="1:14" ht="15">
      <c r="A150" s="24">
        <v>146</v>
      </c>
      <c r="B150" s="24" t="s">
        <v>564</v>
      </c>
      <c r="C150" s="24" t="s">
        <v>563</v>
      </c>
      <c r="D150" s="24">
        <v>1964</v>
      </c>
      <c r="E150" s="24"/>
      <c r="F150" s="24" t="s">
        <v>562</v>
      </c>
      <c r="G150" s="24" t="s">
        <v>227</v>
      </c>
      <c r="H150" s="24"/>
      <c r="I150" s="24"/>
      <c r="J150" s="24"/>
      <c r="K150" s="24"/>
      <c r="L150" s="24"/>
      <c r="M150" s="24"/>
      <c r="N150" s="24"/>
    </row>
    <row r="151" spans="1:14" ht="15">
      <c r="A151" s="24">
        <v>147</v>
      </c>
      <c r="B151" s="24" t="s">
        <v>561</v>
      </c>
      <c r="C151" s="24" t="s">
        <v>560</v>
      </c>
      <c r="D151" s="24">
        <v>1993</v>
      </c>
      <c r="E151" s="24"/>
      <c r="F151" s="24" t="s">
        <v>559</v>
      </c>
      <c r="G151" s="24" t="s">
        <v>227</v>
      </c>
      <c r="H151" s="24"/>
      <c r="I151" s="24"/>
      <c r="J151" s="24"/>
      <c r="K151" s="24"/>
      <c r="L151" s="24"/>
      <c r="M151" s="24"/>
      <c r="N151" s="24"/>
    </row>
    <row r="152" spans="1:14" ht="15">
      <c r="A152" s="24">
        <v>148</v>
      </c>
      <c r="B152" s="24" t="s">
        <v>558</v>
      </c>
      <c r="C152" s="24" t="s">
        <v>337</v>
      </c>
      <c r="D152" s="24">
        <v>1974</v>
      </c>
      <c r="E152" s="24"/>
      <c r="F152" s="24" t="s">
        <v>130</v>
      </c>
      <c r="G152" s="24" t="s">
        <v>227</v>
      </c>
      <c r="H152" s="24"/>
      <c r="I152" s="24"/>
      <c r="J152" s="24"/>
      <c r="K152" s="24"/>
      <c r="L152" s="24"/>
      <c r="M152" s="24"/>
      <c r="N152" s="24"/>
    </row>
    <row r="153" spans="1:14" ht="15">
      <c r="A153" s="24">
        <v>149</v>
      </c>
      <c r="B153" s="24" t="s">
        <v>557</v>
      </c>
      <c r="C153" s="24" t="s">
        <v>545</v>
      </c>
      <c r="D153" s="24">
        <v>8</v>
      </c>
      <c r="E153" s="24"/>
      <c r="F153" s="24" t="s">
        <v>556</v>
      </c>
      <c r="G153" s="24" t="s">
        <v>227</v>
      </c>
      <c r="H153" s="24" t="s">
        <v>743</v>
      </c>
      <c r="I153" s="24"/>
      <c r="J153" s="24"/>
      <c r="K153" s="24"/>
      <c r="L153" s="24"/>
      <c r="M153" s="24"/>
      <c r="N153" s="24"/>
    </row>
    <row r="154" spans="1:14" ht="15">
      <c r="A154" s="24">
        <v>150</v>
      </c>
      <c r="B154" s="24" t="s">
        <v>555</v>
      </c>
      <c r="C154" s="24" t="s">
        <v>554</v>
      </c>
      <c r="D154" s="24">
        <v>417000</v>
      </c>
      <c r="E154" s="58">
        <f>D155/(0.01*D153-0.02)</f>
        <v>416666.6666666667</v>
      </c>
      <c r="F154" s="24" t="s">
        <v>553</v>
      </c>
      <c r="G154" s="24" t="s">
        <v>227</v>
      </c>
      <c r="H154" s="48" t="s">
        <v>759</v>
      </c>
      <c r="I154" s="24"/>
      <c r="J154" s="24"/>
      <c r="K154" s="24"/>
      <c r="L154" s="24"/>
      <c r="M154" s="24"/>
      <c r="N154" s="24"/>
    </row>
    <row r="155" spans="1:14" ht="15">
      <c r="A155" s="24">
        <v>151</v>
      </c>
      <c r="B155" s="24" t="s">
        <v>552</v>
      </c>
      <c r="C155" s="24" t="s">
        <v>551</v>
      </c>
      <c r="D155" s="24">
        <v>25000</v>
      </c>
      <c r="E155" s="59">
        <v>25000</v>
      </c>
      <c r="F155" s="24" t="s">
        <v>550</v>
      </c>
      <c r="G155" s="24" t="s">
        <v>227</v>
      </c>
      <c r="H155" s="24" t="s">
        <v>743</v>
      </c>
      <c r="I155" s="24"/>
      <c r="J155" s="24"/>
      <c r="K155" s="24"/>
      <c r="L155" s="24"/>
      <c r="M155" s="24"/>
      <c r="N155" s="24"/>
    </row>
    <row r="156" spans="1:14" ht="15">
      <c r="A156" s="24">
        <v>152</v>
      </c>
      <c r="B156" s="24" t="s">
        <v>549</v>
      </c>
      <c r="C156" s="24" t="s">
        <v>548</v>
      </c>
      <c r="D156" s="24">
        <v>33000</v>
      </c>
      <c r="E156" s="58">
        <f>0.01*D153*E154</f>
        <v>33333.333333333336</v>
      </c>
      <c r="F156" s="24" t="s">
        <v>547</v>
      </c>
      <c r="G156" s="48" t="s">
        <v>227</v>
      </c>
      <c r="H156" s="24"/>
      <c r="I156" s="24"/>
      <c r="J156" s="24"/>
      <c r="K156" s="24"/>
      <c r="L156" s="24"/>
      <c r="M156" s="24"/>
      <c r="N156" s="24"/>
    </row>
    <row r="157" spans="1:14" ht="15">
      <c r="A157" s="24">
        <v>153</v>
      </c>
      <c r="B157" s="24" t="s">
        <v>546</v>
      </c>
      <c r="C157" s="24" t="s">
        <v>545</v>
      </c>
      <c r="D157" s="24">
        <v>8</v>
      </c>
      <c r="E157" s="24"/>
      <c r="F157" s="24" t="s">
        <v>544</v>
      </c>
      <c r="G157" s="48" t="s">
        <v>227</v>
      </c>
      <c r="H157" s="24" t="s">
        <v>743</v>
      </c>
      <c r="I157" s="24"/>
      <c r="J157" s="24"/>
      <c r="K157" s="24"/>
      <c r="L157" s="24"/>
      <c r="M157" s="24"/>
      <c r="N157" s="24"/>
    </row>
    <row r="158" spans="1:14" ht="15">
      <c r="A158" s="24">
        <v>154</v>
      </c>
      <c r="B158" s="24" t="s">
        <v>543</v>
      </c>
      <c r="C158" s="24" t="s">
        <v>542</v>
      </c>
      <c r="D158" s="24">
        <v>21000</v>
      </c>
      <c r="E158" s="58">
        <f>E156*((1+0.01*D153-0.02)^(-D157))</f>
        <v>20913.74571139422</v>
      </c>
      <c r="F158" s="24" t="s">
        <v>541</v>
      </c>
      <c r="G158" s="48" t="s">
        <v>227</v>
      </c>
      <c r="H158" s="24"/>
      <c r="I158" s="24"/>
      <c r="J158" s="24"/>
      <c r="K158" s="24"/>
      <c r="L158" s="24"/>
      <c r="M158" s="24"/>
      <c r="N158" s="24"/>
    </row>
    <row r="159" spans="1:14" ht="15">
      <c r="A159" s="24">
        <v>155</v>
      </c>
      <c r="B159" s="24" t="s">
        <v>540</v>
      </c>
      <c r="C159" s="24" t="s">
        <v>539</v>
      </c>
      <c r="D159" s="24">
        <v>17.5</v>
      </c>
      <c r="E159" s="56">
        <f>E158/(Schooling!$B$17*Schooling!$B$18)</f>
        <v>17.498113881688603</v>
      </c>
      <c r="F159" s="24" t="s">
        <v>538</v>
      </c>
      <c r="G159" s="48" t="s">
        <v>227</v>
      </c>
      <c r="H159" s="24"/>
      <c r="I159" s="24"/>
      <c r="J159" s="24"/>
      <c r="K159" s="24"/>
      <c r="L159" s="24"/>
      <c r="M159" s="24"/>
      <c r="N159" s="24"/>
    </row>
    <row r="160" spans="1:14" ht="15">
      <c r="A160" s="24">
        <v>156</v>
      </c>
      <c r="B160" s="24" t="s">
        <v>537</v>
      </c>
      <c r="C160" s="24" t="s">
        <v>177</v>
      </c>
      <c r="D160" s="24">
        <v>0.5</v>
      </c>
      <c r="E160" s="24"/>
      <c r="F160" s="24" t="s">
        <v>536</v>
      </c>
      <c r="G160" s="48" t="s">
        <v>227</v>
      </c>
      <c r="H160" s="24"/>
      <c r="I160" s="24"/>
      <c r="J160" s="24"/>
      <c r="K160" s="24"/>
      <c r="L160" s="24"/>
      <c r="M160" s="24"/>
      <c r="N160" s="24"/>
    </row>
    <row r="161" spans="1:14" ht="15">
      <c r="A161" s="24">
        <v>157</v>
      </c>
      <c r="B161" s="24" t="s">
        <v>535</v>
      </c>
      <c r="C161" s="24" t="s">
        <v>534</v>
      </c>
      <c r="D161" s="24">
        <v>8.84</v>
      </c>
      <c r="E161" s="56">
        <f>E159*E145/(1+E145)</f>
        <v>8.835681266991275</v>
      </c>
      <c r="F161" s="24" t="s">
        <v>46</v>
      </c>
      <c r="G161" s="48" t="s">
        <v>227</v>
      </c>
      <c r="H161" s="24"/>
      <c r="I161" s="24"/>
      <c r="J161" s="24"/>
      <c r="K161" s="24"/>
      <c r="L161" s="24"/>
      <c r="M161" s="24"/>
      <c r="N161" s="24"/>
    </row>
    <row r="162" spans="1:14" ht="15">
      <c r="A162" s="24">
        <v>158</v>
      </c>
      <c r="B162" s="24" t="s">
        <v>533</v>
      </c>
      <c r="C162" s="24" t="s">
        <v>139</v>
      </c>
      <c r="D162" s="24">
        <v>2</v>
      </c>
      <c r="E162" s="24"/>
      <c r="F162" s="24" t="s">
        <v>532</v>
      </c>
      <c r="G162" s="48" t="s">
        <v>227</v>
      </c>
      <c r="H162" s="24"/>
      <c r="I162" s="24"/>
      <c r="J162" s="24"/>
      <c r="K162" s="24"/>
      <c r="L162" s="24"/>
      <c r="M162" s="24"/>
      <c r="N162" s="24"/>
    </row>
    <row r="163" spans="1:14" ht="15">
      <c r="A163" s="24">
        <v>159</v>
      </c>
      <c r="B163" s="24" t="s">
        <v>531</v>
      </c>
      <c r="C163" s="48" t="s">
        <v>760</v>
      </c>
      <c r="D163" s="24">
        <v>6.58</v>
      </c>
      <c r="E163" s="56">
        <f>AVERAGE(E148,E161)</f>
        <v>6.581218667469958</v>
      </c>
      <c r="F163" s="24" t="s">
        <v>530</v>
      </c>
      <c r="G163" s="48" t="s">
        <v>227</v>
      </c>
      <c r="H163" s="24"/>
      <c r="I163" s="24"/>
      <c r="J163" s="24"/>
      <c r="K163" s="24"/>
      <c r="L163" s="24"/>
      <c r="M163" s="24"/>
      <c r="N163" s="24"/>
    </row>
    <row r="164" spans="1:14" ht="15">
      <c r="A164" s="24">
        <v>160</v>
      </c>
      <c r="B164" s="24" t="s">
        <v>529</v>
      </c>
      <c r="C164" s="24" t="s">
        <v>177</v>
      </c>
      <c r="D164" s="24">
        <v>0.5</v>
      </c>
      <c r="E164" s="24">
        <v>0.5</v>
      </c>
      <c r="F164" s="24" t="s">
        <v>761</v>
      </c>
      <c r="G164" s="48" t="s">
        <v>227</v>
      </c>
      <c r="H164" s="24" t="s">
        <v>743</v>
      </c>
      <c r="I164" s="24"/>
      <c r="J164" s="24"/>
      <c r="K164" s="24"/>
      <c r="L164" s="24"/>
      <c r="M164" s="24"/>
      <c r="N164" s="24"/>
    </row>
    <row r="165" spans="1:14" ht="15">
      <c r="A165" s="24">
        <v>161</v>
      </c>
      <c r="B165" s="24" t="s">
        <v>528</v>
      </c>
      <c r="C165" s="48" t="s">
        <v>760</v>
      </c>
      <c r="D165" s="24">
        <v>6.58</v>
      </c>
      <c r="E165" s="24"/>
      <c r="F165" s="24" t="s">
        <v>762</v>
      </c>
      <c r="G165" s="48" t="s">
        <v>227</v>
      </c>
      <c r="H165" s="24"/>
      <c r="I165" s="24"/>
      <c r="J165" s="24"/>
      <c r="K165" s="24"/>
      <c r="L165" s="24"/>
      <c r="M165" s="24"/>
      <c r="N165" s="24"/>
    </row>
    <row r="166" spans="1:14" ht="15">
      <c r="A166" s="24">
        <v>162</v>
      </c>
      <c r="B166" s="24" t="s">
        <v>764</v>
      </c>
      <c r="C166" s="48" t="s">
        <v>763</v>
      </c>
      <c r="D166" s="24">
        <v>3.29</v>
      </c>
      <c r="E166" s="56">
        <f>E163*E164</f>
        <v>3.290609333734979</v>
      </c>
      <c r="F166" s="24" t="s">
        <v>178</v>
      </c>
      <c r="G166" s="48" t="s">
        <v>227</v>
      </c>
      <c r="H166" s="24"/>
      <c r="I166" s="24"/>
      <c r="J166" s="24"/>
      <c r="K166" s="24"/>
      <c r="L166" s="24"/>
      <c r="M166" s="24"/>
      <c r="N166" s="24"/>
    </row>
    <row r="167" spans="1:14" ht="15">
      <c r="A167" s="24">
        <v>163</v>
      </c>
      <c r="B167" s="24" t="s">
        <v>220</v>
      </c>
      <c r="C167" s="24" t="s">
        <v>77</v>
      </c>
      <c r="D167" s="24">
        <v>1</v>
      </c>
      <c r="E167" s="24"/>
      <c r="F167" s="24" t="s">
        <v>527</v>
      </c>
      <c r="G167" s="48" t="s">
        <v>227</v>
      </c>
      <c r="H167" s="24"/>
      <c r="I167" s="24"/>
      <c r="J167" s="24"/>
      <c r="K167" s="24"/>
      <c r="L167" s="24"/>
      <c r="M167" s="24"/>
      <c r="N167" s="24"/>
    </row>
    <row r="168" spans="1:14" ht="15">
      <c r="A168" s="24">
        <v>164</v>
      </c>
      <c r="B168" s="24" t="s">
        <v>526</v>
      </c>
      <c r="C168" s="48" t="s">
        <v>765</v>
      </c>
      <c r="D168" s="24">
        <v>287</v>
      </c>
      <c r="E168" s="55">
        <f>Table1!G11</f>
        <v>-287.0224119522335</v>
      </c>
      <c r="F168" s="24" t="s">
        <v>525</v>
      </c>
      <c r="G168" s="48" t="s">
        <v>227</v>
      </c>
      <c r="H168" s="24"/>
      <c r="I168" s="24"/>
      <c r="J168" s="24"/>
      <c r="K168" s="24"/>
      <c r="L168" s="24"/>
      <c r="M168" s="24"/>
      <c r="N168" s="24"/>
    </row>
    <row r="169" spans="1:14" ht="15">
      <c r="A169" s="24">
        <v>165</v>
      </c>
      <c r="B169" s="24" t="s">
        <v>524</v>
      </c>
      <c r="C169" s="48" t="s">
        <v>766</v>
      </c>
      <c r="D169" s="24">
        <v>72</v>
      </c>
      <c r="E169" s="57">
        <f>E168/4</f>
        <v>-71.75560298805837</v>
      </c>
      <c r="F169" s="24" t="s">
        <v>523</v>
      </c>
      <c r="G169" s="48" t="s">
        <v>227</v>
      </c>
      <c r="H169" s="24"/>
      <c r="I169" s="24"/>
      <c r="J169" s="24"/>
      <c r="K169" s="24"/>
      <c r="L169" s="24"/>
      <c r="M169" s="24"/>
      <c r="N169" s="24"/>
    </row>
    <row r="170" spans="1:14" ht="15">
      <c r="A170" s="24">
        <v>166</v>
      </c>
      <c r="B170" s="24" t="s">
        <v>522</v>
      </c>
      <c r="C170" s="24" t="s">
        <v>45</v>
      </c>
      <c r="D170" s="24">
        <v>0.25</v>
      </c>
      <c r="E170" s="24"/>
      <c r="F170" s="24" t="s">
        <v>46</v>
      </c>
      <c r="G170" s="48" t="s">
        <v>227</v>
      </c>
      <c r="H170" s="24"/>
      <c r="I170" s="24"/>
      <c r="J170" s="24"/>
      <c r="K170" s="24"/>
      <c r="L170" s="24"/>
      <c r="M170" s="24"/>
      <c r="N170" s="24"/>
    </row>
    <row r="171" spans="1:14" ht="15">
      <c r="A171" s="24">
        <v>167</v>
      </c>
      <c r="B171" s="24" t="s">
        <v>521</v>
      </c>
      <c r="C171" s="24" t="s">
        <v>520</v>
      </c>
      <c r="D171" s="24">
        <v>1972</v>
      </c>
      <c r="E171" s="24"/>
      <c r="F171" s="24" t="s">
        <v>130</v>
      </c>
      <c r="G171" s="48" t="s">
        <v>227</v>
      </c>
      <c r="H171" s="24"/>
      <c r="I171" s="24"/>
      <c r="J171" s="24"/>
      <c r="K171" s="24"/>
      <c r="L171" s="24"/>
      <c r="M171" s="24"/>
      <c r="N171" s="24"/>
    </row>
    <row r="172" spans="1:14" ht="15">
      <c r="A172" s="24">
        <v>168</v>
      </c>
      <c r="B172" s="24" t="s">
        <v>519</v>
      </c>
      <c r="C172" s="24" t="s">
        <v>84</v>
      </c>
      <c r="D172" s="24">
        <v>1</v>
      </c>
      <c r="E172" s="24"/>
      <c r="F172" s="24" t="s">
        <v>518</v>
      </c>
      <c r="G172" s="24" t="s">
        <v>227</v>
      </c>
      <c r="H172" s="24"/>
      <c r="I172" s="24"/>
      <c r="J172" s="24"/>
      <c r="K172" s="24"/>
      <c r="L172" s="24"/>
      <c r="M172" s="24"/>
      <c r="N172" s="24"/>
    </row>
    <row r="173" spans="1:14" ht="15">
      <c r="A173" s="24">
        <v>169</v>
      </c>
      <c r="B173" s="24" t="s">
        <v>517</v>
      </c>
      <c r="C173" s="24" t="s">
        <v>84</v>
      </c>
      <c r="D173" s="24">
        <v>1</v>
      </c>
      <c r="E173" s="24"/>
      <c r="F173" s="24" t="s">
        <v>516</v>
      </c>
      <c r="G173" s="24" t="s">
        <v>227</v>
      </c>
      <c r="H173" s="24"/>
      <c r="I173" s="24"/>
      <c r="J173" s="24"/>
      <c r="K173" s="24"/>
      <c r="L173" s="24"/>
      <c r="M173" s="24"/>
      <c r="N173" s="24"/>
    </row>
    <row r="174" spans="1:14" ht="15">
      <c r="A174" s="24">
        <v>170</v>
      </c>
      <c r="B174" s="24" t="s">
        <v>515</v>
      </c>
      <c r="C174" s="24" t="s">
        <v>139</v>
      </c>
      <c r="D174" s="24">
        <v>2</v>
      </c>
      <c r="E174" s="24"/>
      <c r="F174" s="24" t="s">
        <v>514</v>
      </c>
      <c r="G174" s="48" t="s">
        <v>227</v>
      </c>
      <c r="H174" s="24"/>
      <c r="I174" s="24"/>
      <c r="J174" s="24"/>
      <c r="K174" s="24"/>
      <c r="L174" s="24"/>
      <c r="M174" s="24"/>
      <c r="N174" s="24"/>
    </row>
    <row r="175" spans="1:14" ht="15">
      <c r="A175" s="24">
        <v>171</v>
      </c>
      <c r="B175" s="24" t="s">
        <v>513</v>
      </c>
      <c r="C175" s="24" t="s">
        <v>186</v>
      </c>
      <c r="D175" s="24">
        <v>1998</v>
      </c>
      <c r="E175" s="24"/>
      <c r="F175" s="24" t="s">
        <v>130</v>
      </c>
      <c r="G175" s="48" t="s">
        <v>227</v>
      </c>
      <c r="H175" s="24"/>
      <c r="I175" s="24"/>
      <c r="J175" s="24"/>
      <c r="K175" s="24"/>
      <c r="L175" s="24"/>
      <c r="M175" s="24"/>
      <c r="N175" s="24"/>
    </row>
    <row r="176" spans="1:14" ht="15">
      <c r="A176" s="24">
        <v>172</v>
      </c>
      <c r="B176" s="24" t="s">
        <v>512</v>
      </c>
      <c r="C176" s="24" t="s">
        <v>114</v>
      </c>
      <c r="D176" s="24">
        <v>30</v>
      </c>
      <c r="E176" s="51">
        <f>E78</f>
        <v>0.3</v>
      </c>
      <c r="F176" s="24" t="s">
        <v>511</v>
      </c>
      <c r="G176" s="48" t="s">
        <v>227</v>
      </c>
      <c r="H176" s="24"/>
      <c r="I176" s="24"/>
      <c r="J176" s="24"/>
      <c r="K176" s="24"/>
      <c r="L176" s="24"/>
      <c r="M176" s="24"/>
      <c r="N176" s="24"/>
    </row>
    <row r="177" spans="1:14" ht="15">
      <c r="A177" s="24">
        <v>173</v>
      </c>
      <c r="B177" s="24" t="s">
        <v>510</v>
      </c>
      <c r="C177" s="24" t="s">
        <v>84</v>
      </c>
      <c r="D177" s="24">
        <v>1</v>
      </c>
      <c r="E177" s="24"/>
      <c r="F177" s="24" t="s">
        <v>509</v>
      </c>
      <c r="G177" s="48" t="s">
        <v>227</v>
      </c>
      <c r="H177" s="24"/>
      <c r="I177" s="24"/>
      <c r="J177" s="24"/>
      <c r="K177" s="24"/>
      <c r="L177" s="24"/>
      <c r="M177" s="24"/>
      <c r="N177" s="24"/>
    </row>
    <row r="178" spans="1:14" ht="15">
      <c r="A178" s="24">
        <v>174</v>
      </c>
      <c r="B178" s="24" t="s">
        <v>508</v>
      </c>
      <c r="C178" s="24" t="s">
        <v>160</v>
      </c>
      <c r="D178" s="24"/>
      <c r="E178" s="24"/>
      <c r="F178" s="24" t="s">
        <v>507</v>
      </c>
      <c r="G178" s="48" t="s">
        <v>227</v>
      </c>
      <c r="H178" s="24"/>
      <c r="I178" s="24"/>
      <c r="J178" s="24"/>
      <c r="K178" s="24"/>
      <c r="L178" s="24"/>
      <c r="M178" s="24"/>
      <c r="N178" s="24"/>
    </row>
    <row r="179" spans="1:14" ht="15">
      <c r="A179" s="24">
        <v>175</v>
      </c>
      <c r="B179" s="24" t="s">
        <v>506</v>
      </c>
      <c r="C179" s="24" t="s">
        <v>505</v>
      </c>
      <c r="D179" s="24">
        <v>107</v>
      </c>
      <c r="E179" s="55">
        <f>Table1!$G$12</f>
        <v>-106.95216017200609</v>
      </c>
      <c r="F179" s="24" t="s">
        <v>504</v>
      </c>
      <c r="G179" s="48" t="s">
        <v>227</v>
      </c>
      <c r="H179" s="24"/>
      <c r="I179" s="24"/>
      <c r="J179" s="24"/>
      <c r="K179" s="24"/>
      <c r="L179" s="24"/>
      <c r="M179" s="24"/>
      <c r="N179" s="24"/>
    </row>
    <row r="180" spans="1:14" ht="15">
      <c r="A180" s="24">
        <v>176</v>
      </c>
      <c r="B180" s="24" t="s">
        <v>503</v>
      </c>
      <c r="C180" s="24" t="s">
        <v>141</v>
      </c>
      <c r="D180" s="24">
        <v>1</v>
      </c>
      <c r="E180" s="24"/>
      <c r="F180" s="24"/>
      <c r="G180" s="48" t="s">
        <v>227</v>
      </c>
      <c r="H180" s="24"/>
      <c r="I180" s="24"/>
      <c r="J180" s="24"/>
      <c r="K180" s="24"/>
      <c r="L180" s="24"/>
      <c r="M180" s="24"/>
      <c r="N180" s="24"/>
    </row>
    <row r="181" spans="1:14" ht="15">
      <c r="A181" s="24">
        <v>177</v>
      </c>
      <c r="B181" s="24" t="s">
        <v>179</v>
      </c>
      <c r="C181" s="48" t="s">
        <v>763</v>
      </c>
      <c r="D181" s="24">
        <v>3.29</v>
      </c>
      <c r="E181" s="56">
        <f>E166</f>
        <v>3.290609333734979</v>
      </c>
      <c r="F181" s="24" t="s">
        <v>502</v>
      </c>
      <c r="G181" s="48" t="s">
        <v>227</v>
      </c>
      <c r="H181" s="24"/>
      <c r="I181" s="24"/>
      <c r="J181" s="24"/>
      <c r="K181" s="24"/>
      <c r="L181" s="24"/>
      <c r="M181" s="24"/>
      <c r="N181" s="24"/>
    </row>
    <row r="182" spans="1:14" ht="15">
      <c r="A182" s="24">
        <v>178</v>
      </c>
      <c r="B182" s="24" t="s">
        <v>501</v>
      </c>
      <c r="C182" s="24" t="s">
        <v>129</v>
      </c>
      <c r="D182" s="24">
        <v>2000</v>
      </c>
      <c r="E182" s="24"/>
      <c r="F182" s="24" t="s">
        <v>500</v>
      </c>
      <c r="G182" s="48" t="s">
        <v>227</v>
      </c>
      <c r="H182" s="24"/>
      <c r="I182" s="24"/>
      <c r="J182" s="24"/>
      <c r="K182" s="24"/>
      <c r="L182" s="24"/>
      <c r="M182" s="24"/>
      <c r="N182" s="24"/>
    </row>
    <row r="183" spans="1:14" ht="15">
      <c r="A183" s="24">
        <v>179</v>
      </c>
      <c r="B183" s="24" t="s">
        <v>499</v>
      </c>
      <c r="C183" s="24" t="s">
        <v>180</v>
      </c>
      <c r="D183" s="24">
        <v>500</v>
      </c>
      <c r="E183" s="24"/>
      <c r="F183" s="24" t="s">
        <v>498</v>
      </c>
      <c r="G183" s="48" t="s">
        <v>227</v>
      </c>
      <c r="H183" s="24"/>
      <c r="I183" s="24"/>
      <c r="J183" s="24"/>
      <c r="K183" s="24"/>
      <c r="L183" s="24"/>
      <c r="M183" s="24"/>
      <c r="N183" s="24"/>
    </row>
    <row r="184" spans="1:14" ht="15">
      <c r="A184" s="24">
        <v>180</v>
      </c>
      <c r="B184" s="24" t="s">
        <v>497</v>
      </c>
      <c r="C184" s="24" t="s">
        <v>496</v>
      </c>
      <c r="D184" s="24">
        <v>1.1</v>
      </c>
      <c r="E184" s="60">
        <f>SUM(Table1!$G$11:$G$15)/1000</f>
        <v>-1.516023160318328</v>
      </c>
      <c r="F184" s="24" t="s">
        <v>495</v>
      </c>
      <c r="G184" s="48" t="s">
        <v>227</v>
      </c>
      <c r="H184" s="24"/>
      <c r="I184" s="24"/>
      <c r="J184" s="24"/>
      <c r="K184" s="24"/>
      <c r="L184" s="24"/>
      <c r="M184" s="24"/>
      <c r="N184" s="24"/>
    </row>
    <row r="185" spans="1:14" ht="15">
      <c r="A185" s="24">
        <v>181</v>
      </c>
      <c r="B185" s="24" t="s">
        <v>494</v>
      </c>
      <c r="C185" s="24" t="s">
        <v>323</v>
      </c>
      <c r="D185" s="24">
        <v>10</v>
      </c>
      <c r="E185" s="24"/>
      <c r="F185" s="24" t="s">
        <v>493</v>
      </c>
      <c r="G185" s="24" t="s">
        <v>227</v>
      </c>
      <c r="H185" s="24"/>
      <c r="I185" s="24"/>
      <c r="J185" s="24"/>
      <c r="K185" s="24"/>
      <c r="L185" s="24"/>
      <c r="M185" s="24"/>
      <c r="N185" s="24"/>
    </row>
    <row r="186" spans="1:14" ht="15">
      <c r="A186" s="24">
        <v>182</v>
      </c>
      <c r="B186" s="24" t="s">
        <v>182</v>
      </c>
      <c r="C186" s="24" t="s">
        <v>183</v>
      </c>
      <c r="D186" s="24">
        <v>1970</v>
      </c>
      <c r="E186" s="24"/>
      <c r="F186" s="24" t="s">
        <v>184</v>
      </c>
      <c r="G186" s="24" t="s">
        <v>227</v>
      </c>
      <c r="H186" s="24"/>
      <c r="I186" s="24"/>
      <c r="J186" s="24"/>
      <c r="K186" s="24"/>
      <c r="L186" s="24"/>
      <c r="M186" s="24"/>
      <c r="N186" s="24"/>
    </row>
    <row r="187" spans="1:14" ht="15">
      <c r="A187" s="24">
        <v>183</v>
      </c>
      <c r="B187" s="24" t="s">
        <v>185</v>
      </c>
      <c r="C187" s="24" t="s">
        <v>186</v>
      </c>
      <c r="D187" s="24">
        <v>1998</v>
      </c>
      <c r="E187" s="24"/>
      <c r="F187" s="24" t="s">
        <v>187</v>
      </c>
      <c r="G187" s="24" t="s">
        <v>227</v>
      </c>
      <c r="H187" s="24"/>
      <c r="I187" s="24"/>
      <c r="J187" s="24"/>
      <c r="K187" s="24"/>
      <c r="L187" s="24"/>
      <c r="M187" s="24"/>
      <c r="N187" s="24"/>
    </row>
    <row r="188" spans="1:14" ht="15">
      <c r="A188" s="24">
        <v>184</v>
      </c>
      <c r="B188" s="24" t="s">
        <v>188</v>
      </c>
      <c r="C188" s="24" t="s">
        <v>189</v>
      </c>
      <c r="D188" s="24">
        <v>2003</v>
      </c>
      <c r="E188" s="24"/>
      <c r="F188" s="24" t="s">
        <v>130</v>
      </c>
      <c r="G188" s="24" t="s">
        <v>227</v>
      </c>
      <c r="H188" s="24"/>
      <c r="I188" s="24"/>
      <c r="J188" s="24"/>
      <c r="K188" s="24"/>
      <c r="L188" s="24"/>
      <c r="M188" s="24"/>
      <c r="N188" s="24"/>
    </row>
    <row r="189" spans="1:14" ht="15">
      <c r="A189" s="24">
        <v>185</v>
      </c>
      <c r="B189" s="24" t="s">
        <v>492</v>
      </c>
      <c r="C189" s="24" t="s">
        <v>323</v>
      </c>
      <c r="D189" s="24">
        <v>10</v>
      </c>
      <c r="E189" s="24"/>
      <c r="F189" s="24" t="s">
        <v>491</v>
      </c>
      <c r="G189" s="24" t="s">
        <v>227</v>
      </c>
      <c r="H189" s="24"/>
      <c r="I189" s="24"/>
      <c r="J189" s="24"/>
      <c r="K189" s="24"/>
      <c r="L189" s="24"/>
      <c r="M189" s="24"/>
      <c r="N189" s="24"/>
    </row>
    <row r="190" spans="1:14" ht="15">
      <c r="A190" s="24">
        <v>186</v>
      </c>
      <c r="B190" s="24" t="s">
        <v>190</v>
      </c>
      <c r="C190" s="24" t="s">
        <v>189</v>
      </c>
      <c r="D190" s="24">
        <v>2003</v>
      </c>
      <c r="E190" s="24"/>
      <c r="F190" s="24" t="s">
        <v>130</v>
      </c>
      <c r="G190" s="24" t="s">
        <v>227</v>
      </c>
      <c r="H190" s="24"/>
      <c r="I190" s="24"/>
      <c r="J190" s="24"/>
      <c r="K190" s="24"/>
      <c r="L190" s="24"/>
      <c r="M190" s="24"/>
      <c r="N190" s="24"/>
    </row>
    <row r="191" spans="1:14" ht="15">
      <c r="A191" s="24">
        <v>187</v>
      </c>
      <c r="B191" s="24" t="s">
        <v>490</v>
      </c>
      <c r="C191" s="24" t="s">
        <v>191</v>
      </c>
      <c r="D191" s="24">
        <v>2019</v>
      </c>
      <c r="E191" s="24"/>
      <c r="F191" s="24" t="s">
        <v>130</v>
      </c>
      <c r="G191" s="24" t="s">
        <v>227</v>
      </c>
      <c r="H191" s="24"/>
      <c r="I191" s="24"/>
      <c r="J191" s="24"/>
      <c r="K191" s="24"/>
      <c r="L191" s="24"/>
      <c r="M191" s="24"/>
      <c r="N191" s="24"/>
    </row>
    <row r="192" spans="1:14" ht="15">
      <c r="A192" s="24">
        <v>188</v>
      </c>
      <c r="B192" s="24" t="s">
        <v>192</v>
      </c>
      <c r="C192" s="24" t="s">
        <v>193</v>
      </c>
      <c r="D192" s="24">
        <v>4</v>
      </c>
      <c r="E192" s="24"/>
      <c r="F192" s="24" t="s">
        <v>194</v>
      </c>
      <c r="G192" s="24" t="s">
        <v>227</v>
      </c>
      <c r="H192" s="24" t="s">
        <v>768</v>
      </c>
      <c r="I192" s="24"/>
      <c r="J192" s="24"/>
      <c r="K192" s="24"/>
      <c r="L192" s="24"/>
      <c r="M192" s="24"/>
      <c r="N192" s="24"/>
    </row>
    <row r="193" spans="1:14" ht="15">
      <c r="A193" s="24">
        <v>189</v>
      </c>
      <c r="B193" s="24" t="s">
        <v>489</v>
      </c>
      <c r="C193" s="24" t="s">
        <v>375</v>
      </c>
      <c r="D193" s="24">
        <v>-19</v>
      </c>
      <c r="E193" s="24"/>
      <c r="F193" s="24" t="s">
        <v>488</v>
      </c>
      <c r="G193" s="24" t="s">
        <v>227</v>
      </c>
      <c r="H193" s="24"/>
      <c r="I193" s="24"/>
      <c r="J193" s="24"/>
      <c r="K193" s="24"/>
      <c r="L193" s="24"/>
      <c r="M193" s="24"/>
      <c r="N193" s="24"/>
    </row>
    <row r="194" spans="1:14" ht="15">
      <c r="A194" s="24">
        <v>190</v>
      </c>
      <c r="B194" s="24" t="s">
        <v>195</v>
      </c>
      <c r="C194" s="48" t="s">
        <v>641</v>
      </c>
      <c r="D194" s="24">
        <v>28</v>
      </c>
      <c r="E194" s="57">
        <f>Table1!$E$16</f>
        <v>-28.172019705746575</v>
      </c>
      <c r="F194" s="24" t="s">
        <v>196</v>
      </c>
      <c r="G194" s="24" t="s">
        <v>227</v>
      </c>
      <c r="H194" s="24"/>
      <c r="I194" s="24"/>
      <c r="J194" s="24"/>
      <c r="K194" s="24"/>
      <c r="L194" s="24"/>
      <c r="M194" s="24"/>
      <c r="N194" s="24"/>
    </row>
    <row r="195" spans="1:14" ht="15">
      <c r="A195" s="24">
        <v>191</v>
      </c>
      <c r="B195" s="24"/>
      <c r="C195" s="24" t="s">
        <v>197</v>
      </c>
      <c r="D195" s="24">
        <v>20</v>
      </c>
      <c r="E195" s="24"/>
      <c r="F195" s="24" t="s">
        <v>487</v>
      </c>
      <c r="G195" s="24" t="s">
        <v>227</v>
      </c>
      <c r="H195" s="24"/>
      <c r="I195" s="24"/>
      <c r="J195" s="24"/>
      <c r="K195" s="24"/>
      <c r="L195" s="24"/>
      <c r="M195" s="24"/>
      <c r="N195" s="24"/>
    </row>
    <row r="196" spans="1:14" ht="15">
      <c r="A196" s="24">
        <v>192</v>
      </c>
      <c r="B196" s="24" t="s">
        <v>198</v>
      </c>
      <c r="C196" s="24" t="s">
        <v>139</v>
      </c>
      <c r="D196" s="24">
        <v>2</v>
      </c>
      <c r="E196" s="24"/>
      <c r="F196" s="24" t="s">
        <v>486</v>
      </c>
      <c r="G196" s="24" t="s">
        <v>227</v>
      </c>
      <c r="H196" s="24" t="s">
        <v>769</v>
      </c>
      <c r="I196" s="24"/>
      <c r="J196" s="24"/>
      <c r="K196" s="24"/>
      <c r="L196" s="24"/>
      <c r="M196" s="24"/>
      <c r="N196" s="24"/>
    </row>
    <row r="197" spans="1:14" ht="15">
      <c r="A197" s="24">
        <v>193</v>
      </c>
      <c r="B197" s="24" t="s">
        <v>485</v>
      </c>
      <c r="C197" s="24" t="s">
        <v>375</v>
      </c>
      <c r="D197" s="24">
        <v>-19</v>
      </c>
      <c r="E197" s="24"/>
      <c r="F197" s="24" t="s">
        <v>484</v>
      </c>
      <c r="G197" s="24" t="s">
        <v>227</v>
      </c>
      <c r="H197" s="24"/>
      <c r="I197" s="24"/>
      <c r="J197" s="24"/>
      <c r="K197" s="24"/>
      <c r="L197" s="24"/>
      <c r="M197" s="24"/>
      <c r="N197" s="24"/>
    </row>
    <row r="198" spans="1:14" ht="15">
      <c r="A198" s="24">
        <v>194</v>
      </c>
      <c r="B198" s="24" t="s">
        <v>483</v>
      </c>
      <c r="C198" s="24" t="s">
        <v>39</v>
      </c>
      <c r="D198" s="24">
        <v>2020</v>
      </c>
      <c r="E198" s="24"/>
      <c r="F198" s="24" t="s">
        <v>482</v>
      </c>
      <c r="G198" s="24" t="s">
        <v>227</v>
      </c>
      <c r="H198" s="24"/>
      <c r="I198" s="24"/>
      <c r="J198" s="24"/>
      <c r="K198" s="24"/>
      <c r="L198" s="24"/>
      <c r="M198" s="24"/>
      <c r="N198" s="24"/>
    </row>
    <row r="199" spans="1:14" ht="15">
      <c r="A199" s="24">
        <v>195</v>
      </c>
      <c r="B199" s="24" t="s">
        <v>481</v>
      </c>
      <c r="C199" s="24" t="s">
        <v>39</v>
      </c>
      <c r="D199" s="24">
        <v>2020</v>
      </c>
      <c r="E199" s="24"/>
      <c r="F199" s="24" t="s">
        <v>130</v>
      </c>
      <c r="G199" s="24" t="s">
        <v>227</v>
      </c>
      <c r="H199" s="24"/>
      <c r="I199" s="24"/>
      <c r="J199" s="24"/>
      <c r="K199" s="24"/>
      <c r="L199" s="24"/>
      <c r="M199" s="24"/>
      <c r="N199" s="24"/>
    </row>
    <row r="200" spans="1:14" ht="15">
      <c r="A200" s="24">
        <v>196</v>
      </c>
      <c r="B200" s="24" t="s">
        <v>199</v>
      </c>
      <c r="C200" s="24" t="s">
        <v>200</v>
      </c>
      <c r="D200" s="24">
        <v>1.5</v>
      </c>
      <c r="E200" s="24"/>
      <c r="F200" s="24" t="s">
        <v>201</v>
      </c>
      <c r="G200" s="24" t="s">
        <v>227</v>
      </c>
      <c r="H200" s="24" t="s">
        <v>770</v>
      </c>
      <c r="I200" s="24"/>
      <c r="J200" s="24"/>
      <c r="K200" s="24"/>
      <c r="L200" s="24"/>
      <c r="M200" s="24"/>
      <c r="N200" s="24"/>
    </row>
    <row r="201" spans="1:14" ht="15">
      <c r="A201" s="24">
        <v>197</v>
      </c>
      <c r="B201" s="24" t="s">
        <v>202</v>
      </c>
      <c r="C201" s="24" t="s">
        <v>203</v>
      </c>
      <c r="D201" s="24">
        <v>2016</v>
      </c>
      <c r="E201" s="24"/>
      <c r="F201" s="24" t="s">
        <v>130</v>
      </c>
      <c r="G201" s="24" t="s">
        <v>227</v>
      </c>
      <c r="H201" s="24"/>
      <c r="I201" s="24"/>
      <c r="J201" s="24"/>
      <c r="K201" s="24"/>
      <c r="L201" s="24"/>
      <c r="M201" s="24"/>
      <c r="N201" s="24"/>
    </row>
    <row r="202" spans="1:14" ht="15">
      <c r="A202" s="24">
        <v>198</v>
      </c>
      <c r="B202" s="24" t="s">
        <v>204</v>
      </c>
      <c r="C202" s="24" t="s">
        <v>86</v>
      </c>
      <c r="D202" s="24">
        <v>8</v>
      </c>
      <c r="E202" s="24"/>
      <c r="F202" s="24" t="s">
        <v>205</v>
      </c>
      <c r="G202" s="24" t="s">
        <v>227</v>
      </c>
      <c r="H202" s="24"/>
      <c r="I202" s="24"/>
      <c r="J202" s="24"/>
      <c r="K202" s="24"/>
      <c r="L202" s="24"/>
      <c r="M202" s="24"/>
      <c r="N202" s="24"/>
    </row>
    <row r="203" spans="1:14" ht="15">
      <c r="A203" s="24">
        <v>199</v>
      </c>
      <c r="B203" s="24" t="s">
        <v>206</v>
      </c>
      <c r="C203" s="24" t="s">
        <v>207</v>
      </c>
      <c r="D203" s="24">
        <v>2017</v>
      </c>
      <c r="E203" s="24"/>
      <c r="F203" s="24" t="s">
        <v>130</v>
      </c>
      <c r="G203" s="24" t="s">
        <v>227</v>
      </c>
      <c r="H203" s="24"/>
      <c r="I203" s="24"/>
      <c r="J203" s="24"/>
      <c r="K203" s="24"/>
      <c r="L203" s="24"/>
      <c r="M203" s="24"/>
      <c r="N203" s="24"/>
    </row>
    <row r="204" spans="1:14" ht="15">
      <c r="A204" s="24">
        <v>200</v>
      </c>
      <c r="B204" s="24" t="s">
        <v>208</v>
      </c>
      <c r="C204" s="24" t="s">
        <v>209</v>
      </c>
      <c r="D204" s="24">
        <v>4</v>
      </c>
      <c r="E204" s="24"/>
      <c r="F204" s="24" t="s">
        <v>480</v>
      </c>
      <c r="G204" s="24" t="s">
        <v>227</v>
      </c>
      <c r="H204" s="24"/>
      <c r="I204" s="24"/>
      <c r="J204" s="24"/>
      <c r="K204" s="24"/>
      <c r="L204" s="24"/>
      <c r="M204" s="24"/>
      <c r="N204" s="24"/>
    </row>
    <row r="205" spans="1:14" ht="15">
      <c r="A205" s="24">
        <v>201</v>
      </c>
      <c r="B205" s="24" t="s">
        <v>210</v>
      </c>
      <c r="C205" s="24" t="s">
        <v>211</v>
      </c>
      <c r="D205" s="24">
        <v>16</v>
      </c>
      <c r="E205" s="24"/>
      <c r="F205" s="24" t="s">
        <v>212</v>
      </c>
      <c r="G205" s="24" t="s">
        <v>227</v>
      </c>
      <c r="H205" s="24"/>
      <c r="I205" s="24"/>
      <c r="J205" s="24"/>
      <c r="K205" s="24"/>
      <c r="L205" s="24"/>
      <c r="M205" s="24"/>
      <c r="N205" s="24"/>
    </row>
    <row r="206" spans="1:14" ht="15">
      <c r="A206" s="24">
        <v>202</v>
      </c>
      <c r="B206" s="24" t="s">
        <v>213</v>
      </c>
      <c r="C206" s="24" t="s">
        <v>209</v>
      </c>
      <c r="D206" s="24">
        <v>4</v>
      </c>
      <c r="E206" s="24"/>
      <c r="F206" s="24" t="s">
        <v>214</v>
      </c>
      <c r="G206" s="24" t="s">
        <v>227</v>
      </c>
      <c r="H206" s="24"/>
      <c r="I206" s="24"/>
      <c r="J206" s="24"/>
      <c r="K206" s="24"/>
      <c r="L206" s="24"/>
      <c r="M206" s="24"/>
      <c r="N206" s="24"/>
    </row>
    <row r="207" spans="1:14" ht="15">
      <c r="A207" s="24">
        <v>203</v>
      </c>
      <c r="B207" s="24"/>
      <c r="C207" s="24" t="s">
        <v>86</v>
      </c>
      <c r="D207" s="24">
        <v>8</v>
      </c>
      <c r="E207" s="24"/>
      <c r="F207" s="24" t="s">
        <v>479</v>
      </c>
      <c r="G207" s="24" t="s">
        <v>227</v>
      </c>
      <c r="H207" s="24"/>
      <c r="I207" s="24"/>
      <c r="J207" s="24"/>
      <c r="K207" s="24"/>
      <c r="L207" s="24"/>
      <c r="M207" s="24"/>
      <c r="N207" s="24"/>
    </row>
    <row r="208" spans="1:14" ht="15">
      <c r="A208" s="24">
        <v>204</v>
      </c>
      <c r="B208" s="24" t="s">
        <v>215</v>
      </c>
      <c r="C208" s="24" t="s">
        <v>197</v>
      </c>
      <c r="D208" s="24">
        <v>20</v>
      </c>
      <c r="E208" s="24"/>
      <c r="F208" s="24" t="s">
        <v>478</v>
      </c>
      <c r="G208" s="24" t="s">
        <v>227</v>
      </c>
      <c r="H208" s="24"/>
      <c r="I208" s="24"/>
      <c r="J208" s="24"/>
      <c r="K208" s="24"/>
      <c r="L208" s="24"/>
      <c r="M208" s="24"/>
      <c r="N208" s="24"/>
    </row>
    <row r="209" spans="1:14" ht="15">
      <c r="A209" s="24">
        <v>205</v>
      </c>
      <c r="B209" s="24" t="s">
        <v>216</v>
      </c>
      <c r="C209" s="24" t="s">
        <v>139</v>
      </c>
      <c r="D209" s="24">
        <v>2</v>
      </c>
      <c r="E209" s="24"/>
      <c r="F209" s="24" t="s">
        <v>477</v>
      </c>
      <c r="G209" s="24" t="s">
        <v>227</v>
      </c>
      <c r="H209" s="24"/>
      <c r="I209" s="24"/>
      <c r="J209" s="24"/>
      <c r="K209" s="24"/>
      <c r="L209" s="24"/>
      <c r="M209" s="24"/>
      <c r="N209" s="24"/>
    </row>
    <row r="210" spans="1:14" ht="15">
      <c r="A210" s="24">
        <v>206</v>
      </c>
      <c r="B210" s="24" t="s">
        <v>476</v>
      </c>
      <c r="C210" s="24" t="s">
        <v>375</v>
      </c>
      <c r="D210" s="24">
        <v>-19</v>
      </c>
      <c r="E210" s="24"/>
      <c r="F210" s="24" t="s">
        <v>475</v>
      </c>
      <c r="G210" s="24" t="s">
        <v>227</v>
      </c>
      <c r="H210" s="24"/>
      <c r="I210" s="24"/>
      <c r="J210" s="24"/>
      <c r="K210" s="24"/>
      <c r="L210" s="24"/>
      <c r="M210" s="24"/>
      <c r="N210" s="24"/>
    </row>
    <row r="211" spans="1:14" ht="15">
      <c r="A211" s="24">
        <v>207</v>
      </c>
      <c r="B211" s="24" t="s">
        <v>474</v>
      </c>
      <c r="C211" s="24" t="s">
        <v>84</v>
      </c>
      <c r="D211" s="24">
        <v>1</v>
      </c>
      <c r="E211" s="24"/>
      <c r="F211" s="24" t="s">
        <v>473</v>
      </c>
      <c r="G211" s="24" t="s">
        <v>227</v>
      </c>
      <c r="H211" s="24"/>
      <c r="I211" s="24"/>
      <c r="J211" s="24"/>
      <c r="K211" s="24"/>
      <c r="L211" s="24"/>
      <c r="M211" s="24"/>
      <c r="N211" s="24"/>
    </row>
    <row r="212" spans="1:14" ht="15">
      <c r="A212" s="24">
        <v>208</v>
      </c>
      <c r="B212" s="24" t="s">
        <v>217</v>
      </c>
      <c r="C212" s="24" t="s">
        <v>207</v>
      </c>
      <c r="D212" s="24">
        <v>2017</v>
      </c>
      <c r="E212" s="24"/>
      <c r="F212" s="24" t="s">
        <v>130</v>
      </c>
      <c r="G212" s="24" t="s">
        <v>227</v>
      </c>
      <c r="H212" s="24"/>
      <c r="I212" s="24"/>
      <c r="J212" s="24"/>
      <c r="K212" s="24"/>
      <c r="L212" s="24"/>
      <c r="M212" s="24"/>
      <c r="N212" s="24"/>
    </row>
    <row r="213" spans="1:14" ht="15">
      <c r="A213" s="24">
        <v>209</v>
      </c>
      <c r="B213" s="24" t="s">
        <v>218</v>
      </c>
      <c r="C213" s="24" t="s">
        <v>160</v>
      </c>
      <c r="D213" s="24"/>
      <c r="E213" s="24"/>
      <c r="F213" s="24" t="s">
        <v>219</v>
      </c>
      <c r="G213" s="24" t="s">
        <v>227</v>
      </c>
      <c r="H213" s="24"/>
      <c r="I213" s="24"/>
      <c r="J213" s="24"/>
      <c r="K213" s="24"/>
      <c r="L213" s="24"/>
      <c r="M213" s="24"/>
      <c r="N213" s="24"/>
    </row>
    <row r="214" spans="1:14" ht="15">
      <c r="A214" s="24">
        <v>210</v>
      </c>
      <c r="B214" s="24" t="s">
        <v>472</v>
      </c>
      <c r="C214" s="24" t="s">
        <v>375</v>
      </c>
      <c r="D214" s="24">
        <v>-19</v>
      </c>
      <c r="E214" s="24"/>
      <c r="F214" s="24" t="s">
        <v>471</v>
      </c>
      <c r="G214" s="24" t="s">
        <v>227</v>
      </c>
      <c r="H214" s="24"/>
      <c r="I214" s="24"/>
      <c r="J214" s="24"/>
      <c r="K214" s="24"/>
      <c r="L214" s="24"/>
      <c r="M214" s="24"/>
      <c r="N214" s="24"/>
    </row>
    <row r="215" spans="1:14" ht="15">
      <c r="A215" s="24">
        <v>211</v>
      </c>
      <c r="B215" s="24" t="s">
        <v>470</v>
      </c>
      <c r="C215" s="24" t="s">
        <v>375</v>
      </c>
      <c r="D215" s="24">
        <v>-19</v>
      </c>
      <c r="E215" s="24"/>
      <c r="F215" s="24" t="s">
        <v>469</v>
      </c>
      <c r="G215" s="24" t="s">
        <v>227</v>
      </c>
      <c r="H215" s="24"/>
      <c r="I215" s="24"/>
      <c r="J215" s="24"/>
      <c r="K215" s="24"/>
      <c r="L215" s="24"/>
      <c r="M215" s="24"/>
      <c r="N215" s="24"/>
    </row>
    <row r="216" spans="1:14" ht="15">
      <c r="A216" s="24">
        <v>212</v>
      </c>
      <c r="B216" s="24" t="s">
        <v>468</v>
      </c>
      <c r="C216" s="24" t="s">
        <v>323</v>
      </c>
      <c r="D216" s="24">
        <v>10</v>
      </c>
      <c r="E216" s="24"/>
      <c r="F216" s="24" t="s">
        <v>467</v>
      </c>
      <c r="G216" s="24" t="s">
        <v>227</v>
      </c>
      <c r="H216" s="24"/>
      <c r="I216" s="24"/>
      <c r="J216" s="24"/>
      <c r="K216" s="24"/>
      <c r="L216" s="24"/>
      <c r="M216" s="24"/>
      <c r="N216" s="24"/>
    </row>
    <row r="217" spans="1:14" ht="15">
      <c r="A217" s="24">
        <v>213</v>
      </c>
      <c r="B217" s="24" t="s">
        <v>466</v>
      </c>
      <c r="C217" s="24" t="s">
        <v>375</v>
      </c>
      <c r="D217" s="24">
        <v>-19</v>
      </c>
      <c r="E217" s="24"/>
      <c r="F217" s="24" t="s">
        <v>465</v>
      </c>
      <c r="G217" s="24" t="s">
        <v>227</v>
      </c>
      <c r="H217" s="24"/>
      <c r="I217" s="24"/>
      <c r="J217" s="24"/>
      <c r="K217" s="24"/>
      <c r="L217" s="24"/>
      <c r="M217" s="24"/>
      <c r="N217" s="24"/>
    </row>
    <row r="218" spans="1:14" ht="15">
      <c r="A218" s="24">
        <v>214</v>
      </c>
      <c r="B218" s="24" t="s">
        <v>464</v>
      </c>
      <c r="C218" s="24" t="s">
        <v>375</v>
      </c>
      <c r="D218" s="24">
        <v>-19</v>
      </c>
      <c r="E218" s="24"/>
      <c r="F218" s="24" t="s">
        <v>463</v>
      </c>
      <c r="G218" s="24" t="s">
        <v>227</v>
      </c>
      <c r="H218" s="24"/>
      <c r="I218" s="24"/>
      <c r="J218" s="24"/>
      <c r="K218" s="24"/>
      <c r="L218" s="24"/>
      <c r="M218" s="24"/>
      <c r="N218" s="24"/>
    </row>
    <row r="219" spans="1:14" ht="15">
      <c r="A219" s="24">
        <v>215</v>
      </c>
      <c r="B219" s="24" t="s">
        <v>462</v>
      </c>
      <c r="C219" s="24" t="s">
        <v>84</v>
      </c>
      <c r="D219" s="24">
        <v>1</v>
      </c>
      <c r="E219" s="24"/>
      <c r="F219" s="24" t="s">
        <v>461</v>
      </c>
      <c r="G219" s="24" t="s">
        <v>227</v>
      </c>
      <c r="H219" s="24"/>
      <c r="I219" s="24"/>
      <c r="J219" s="24"/>
      <c r="K219" s="24"/>
      <c r="L219" s="24"/>
      <c r="M219" s="24"/>
      <c r="N219" s="24"/>
    </row>
    <row r="220" spans="1:14" ht="15">
      <c r="A220" s="24">
        <v>216</v>
      </c>
      <c r="B220" s="24" t="s">
        <v>460</v>
      </c>
      <c r="C220" s="24" t="s">
        <v>375</v>
      </c>
      <c r="D220" s="24">
        <v>-19</v>
      </c>
      <c r="E220" s="24"/>
      <c r="F220" s="24" t="s">
        <v>459</v>
      </c>
      <c r="G220" s="24" t="s">
        <v>227</v>
      </c>
      <c r="H220" s="24"/>
      <c r="I220" s="24"/>
      <c r="J220" s="24"/>
      <c r="K220" s="24"/>
      <c r="L220" s="24"/>
      <c r="M220" s="24"/>
      <c r="N220" s="24"/>
    </row>
    <row r="221" spans="1:14" ht="15">
      <c r="A221" s="24">
        <v>217</v>
      </c>
      <c r="B221" s="24" t="s">
        <v>458</v>
      </c>
      <c r="C221" s="24" t="s">
        <v>375</v>
      </c>
      <c r="D221" s="24">
        <v>-19</v>
      </c>
      <c r="E221" s="24"/>
      <c r="F221" s="24" t="s">
        <v>457</v>
      </c>
      <c r="G221" s="24" t="s">
        <v>227</v>
      </c>
      <c r="H221" s="24"/>
      <c r="I221" s="24"/>
      <c r="J221" s="24"/>
      <c r="K221" s="24"/>
      <c r="L221" s="24"/>
      <c r="M221" s="24"/>
      <c r="N221" s="24"/>
    </row>
    <row r="222" spans="1:14" ht="15">
      <c r="A222" s="24">
        <v>218</v>
      </c>
      <c r="B222" s="24" t="s">
        <v>456</v>
      </c>
      <c r="C222" s="24" t="s">
        <v>207</v>
      </c>
      <c r="D222" s="24">
        <v>2017</v>
      </c>
      <c r="E222" s="24"/>
      <c r="F222" s="24" t="s">
        <v>130</v>
      </c>
      <c r="G222" s="24" t="s">
        <v>227</v>
      </c>
      <c r="H222" s="24"/>
      <c r="I222" s="24"/>
      <c r="J222" s="24"/>
      <c r="K222" s="24"/>
      <c r="L222" s="24"/>
      <c r="M222" s="24"/>
      <c r="N222" s="24"/>
    </row>
    <row r="223" spans="1:14" ht="15">
      <c r="A223" s="24">
        <v>219</v>
      </c>
      <c r="B223" s="24" t="s">
        <v>455</v>
      </c>
      <c r="C223" s="24" t="s">
        <v>375</v>
      </c>
      <c r="D223" s="24">
        <v>-19</v>
      </c>
      <c r="E223" s="24"/>
      <c r="F223" s="24" t="s">
        <v>454</v>
      </c>
      <c r="G223" s="24" t="s">
        <v>227</v>
      </c>
      <c r="H223" s="24"/>
      <c r="I223" s="24"/>
      <c r="J223" s="24"/>
      <c r="K223" s="24"/>
      <c r="L223" s="24"/>
      <c r="M223" s="24"/>
      <c r="N223" s="24"/>
    </row>
    <row r="224" spans="1:14" ht="15">
      <c r="A224" s="24">
        <v>220</v>
      </c>
      <c r="B224" s="24" t="s">
        <v>453</v>
      </c>
      <c r="C224" s="24" t="s">
        <v>39</v>
      </c>
      <c r="D224" s="24">
        <v>2020</v>
      </c>
      <c r="E224" s="24"/>
      <c r="F224" s="24" t="s">
        <v>130</v>
      </c>
      <c r="G224" s="24" t="s">
        <v>227</v>
      </c>
      <c r="H224" s="24"/>
      <c r="I224" s="24"/>
      <c r="J224" s="24"/>
      <c r="K224" s="24"/>
      <c r="L224" s="24"/>
      <c r="M224" s="24"/>
      <c r="N224" s="24"/>
    </row>
    <row r="225" spans="1:14" ht="15">
      <c r="A225" s="24">
        <v>221</v>
      </c>
      <c r="B225" s="24" t="s">
        <v>452</v>
      </c>
      <c r="C225" s="24" t="s">
        <v>375</v>
      </c>
      <c r="D225" s="24">
        <v>-19</v>
      </c>
      <c r="E225" s="24"/>
      <c r="F225" s="24" t="s">
        <v>451</v>
      </c>
      <c r="G225" s="24" t="s">
        <v>227</v>
      </c>
      <c r="H225" s="24"/>
      <c r="I225" s="24"/>
      <c r="J225" s="24"/>
      <c r="K225" s="24"/>
      <c r="L225" s="24"/>
      <c r="M225" s="24"/>
      <c r="N225" s="24"/>
    </row>
    <row r="226" spans="1:14" ht="15">
      <c r="A226" s="24">
        <v>222</v>
      </c>
      <c r="B226" s="24"/>
      <c r="C226" s="24" t="s">
        <v>84</v>
      </c>
      <c r="D226" s="24">
        <v>1</v>
      </c>
      <c r="E226" s="24"/>
      <c r="F226" s="24" t="s">
        <v>450</v>
      </c>
      <c r="G226" s="24" t="s">
        <v>227</v>
      </c>
      <c r="H226" s="24"/>
      <c r="I226" s="24"/>
      <c r="J226" s="24"/>
      <c r="K226" s="24"/>
      <c r="L226" s="24"/>
      <c r="M226" s="24"/>
      <c r="N226" s="24"/>
    </row>
    <row r="227" spans="1:14" ht="15">
      <c r="A227" s="24">
        <v>223</v>
      </c>
      <c r="B227" s="24" t="s">
        <v>449</v>
      </c>
      <c r="C227" s="24" t="s">
        <v>84</v>
      </c>
      <c r="D227" s="24">
        <v>1</v>
      </c>
      <c r="E227" s="24"/>
      <c r="F227" s="24" t="s">
        <v>448</v>
      </c>
      <c r="G227" s="24" t="s">
        <v>227</v>
      </c>
      <c r="H227" s="24"/>
      <c r="I227" s="24"/>
      <c r="J227" s="24"/>
      <c r="K227" s="24"/>
      <c r="L227" s="24"/>
      <c r="M227" s="24"/>
      <c r="N227" s="24"/>
    </row>
    <row r="228" spans="1:14" ht="15">
      <c r="A228" s="24">
        <v>224</v>
      </c>
      <c r="B228" s="24" t="s">
        <v>447</v>
      </c>
      <c r="C228" s="24" t="s">
        <v>39</v>
      </c>
      <c r="D228" s="24">
        <v>2020</v>
      </c>
      <c r="E228" s="24"/>
      <c r="F228" s="24" t="s">
        <v>130</v>
      </c>
      <c r="G228" s="24" t="s">
        <v>227</v>
      </c>
      <c r="H228" s="24"/>
      <c r="I228" s="24"/>
      <c r="J228" s="24"/>
      <c r="K228" s="24"/>
      <c r="L228" s="24"/>
      <c r="M228" s="24"/>
      <c r="N228" s="24"/>
    </row>
    <row r="229" spans="1:14" ht="15">
      <c r="A229" s="24">
        <v>225</v>
      </c>
      <c r="B229" s="24" t="s">
        <v>446</v>
      </c>
      <c r="C229" s="24" t="s">
        <v>191</v>
      </c>
      <c r="D229" s="24">
        <v>2019</v>
      </c>
      <c r="E229" s="24"/>
      <c r="F229" s="24" t="s">
        <v>445</v>
      </c>
      <c r="G229" s="24" t="s">
        <v>227</v>
      </c>
      <c r="H229" s="24"/>
      <c r="I229" s="24"/>
      <c r="J229" s="24"/>
      <c r="K229" s="24"/>
      <c r="L229" s="24"/>
      <c r="M229" s="24"/>
      <c r="N229" s="24"/>
    </row>
    <row r="230" spans="1:14" ht="15">
      <c r="A230" s="24">
        <v>226</v>
      </c>
      <c r="B230" s="24" t="s">
        <v>220</v>
      </c>
      <c r="C230" s="24" t="s">
        <v>77</v>
      </c>
      <c r="D230" s="24">
        <v>1</v>
      </c>
      <c r="E230" s="24"/>
      <c r="F230" s="24" t="s">
        <v>444</v>
      </c>
      <c r="G230" s="48" t="s">
        <v>227</v>
      </c>
      <c r="H230" s="24"/>
      <c r="I230" s="24"/>
      <c r="J230" s="24"/>
      <c r="K230" s="24"/>
      <c r="L230" s="24"/>
      <c r="M230" s="24"/>
      <c r="N230" s="24"/>
    </row>
    <row r="231" spans="1:14" ht="15">
      <c r="A231" s="24">
        <v>227</v>
      </c>
      <c r="B231" s="24" t="s">
        <v>221</v>
      </c>
      <c r="C231" s="24" t="s">
        <v>84</v>
      </c>
      <c r="D231" s="24">
        <v>1</v>
      </c>
      <c r="E231" s="24"/>
      <c r="F231" s="24" t="s">
        <v>443</v>
      </c>
      <c r="G231" s="24" t="s">
        <v>227</v>
      </c>
      <c r="H231" s="24"/>
      <c r="I231" s="24"/>
      <c r="J231" s="24"/>
      <c r="K231" s="24"/>
      <c r="L231" s="24"/>
      <c r="M231" s="24"/>
      <c r="N231" s="24"/>
    </row>
    <row r="232" spans="1:14" ht="15">
      <c r="A232" s="24">
        <v>228</v>
      </c>
      <c r="B232" s="24" t="s">
        <v>442</v>
      </c>
      <c r="C232" s="24" t="s">
        <v>114</v>
      </c>
      <c r="D232" s="24">
        <v>30</v>
      </c>
      <c r="E232" s="57">
        <f>E194</f>
        <v>-28.172019705746575</v>
      </c>
      <c r="F232" s="24" t="s">
        <v>223</v>
      </c>
      <c r="G232" s="24" t="s">
        <v>227</v>
      </c>
      <c r="H232" s="24"/>
      <c r="I232" s="24"/>
      <c r="J232" s="24"/>
      <c r="K232" s="24"/>
      <c r="L232" s="24"/>
      <c r="M232" s="24"/>
      <c r="N232" s="24"/>
    </row>
    <row r="233" spans="1:14" ht="15">
      <c r="A233" s="24">
        <v>229</v>
      </c>
      <c r="B233" s="24" t="s">
        <v>224</v>
      </c>
      <c r="C233" s="24" t="s">
        <v>441</v>
      </c>
      <c r="D233" s="24">
        <v>590</v>
      </c>
      <c r="E233" s="57">
        <f>Table1!$G$16/12</f>
        <v>-589.264745511866</v>
      </c>
      <c r="F233" s="24" t="s">
        <v>225</v>
      </c>
      <c r="G233" s="24" t="s">
        <v>227</v>
      </c>
      <c r="H233" s="24"/>
      <c r="I233" s="24"/>
      <c r="J233" s="24"/>
      <c r="K233" s="24"/>
      <c r="L233" s="24"/>
      <c r="M233" s="24"/>
      <c r="N233" s="24"/>
    </row>
    <row r="234" spans="1:14" ht="15">
      <c r="A234" s="24">
        <v>230</v>
      </c>
      <c r="B234" s="24" t="s">
        <v>226</v>
      </c>
      <c r="C234" s="24" t="s">
        <v>45</v>
      </c>
      <c r="D234" s="24">
        <v>0.25</v>
      </c>
      <c r="F234" s="24" t="s">
        <v>440</v>
      </c>
      <c r="G234" s="24" t="s">
        <v>227</v>
      </c>
      <c r="H234" s="24"/>
      <c r="I234" s="24"/>
      <c r="J234" s="24"/>
      <c r="K234" s="24"/>
      <c r="L234" s="24"/>
      <c r="M234" s="24"/>
      <c r="N234" s="24"/>
    </row>
    <row r="235" spans="1:14" ht="15">
      <c r="A235" s="24">
        <v>231</v>
      </c>
      <c r="B235" s="24" t="s">
        <v>439</v>
      </c>
      <c r="C235" s="24" t="s">
        <v>42</v>
      </c>
      <c r="D235" s="24">
        <v>2</v>
      </c>
      <c r="E235" s="55">
        <f>Table1!$F$16/1000</f>
        <v>-1.7677942365355976</v>
      </c>
      <c r="F235" s="24" t="s">
        <v>81</v>
      </c>
      <c r="G235" s="24" t="s">
        <v>227</v>
      </c>
      <c r="H235" s="24"/>
      <c r="I235" s="24"/>
      <c r="J235" s="24"/>
      <c r="K235" s="24"/>
      <c r="L235" s="24"/>
      <c r="M235" s="24"/>
      <c r="N235" s="24"/>
    </row>
    <row r="236" spans="1:14" ht="15">
      <c r="A236" s="24">
        <v>232</v>
      </c>
      <c r="B236" s="24" t="s">
        <v>438</v>
      </c>
      <c r="C236" s="24" t="s">
        <v>84</v>
      </c>
      <c r="D236" s="24">
        <v>1</v>
      </c>
      <c r="E236" s="24"/>
      <c r="F236" s="24" t="s">
        <v>437</v>
      </c>
      <c r="G236" s="24" t="s">
        <v>227</v>
      </c>
      <c r="H236" s="24"/>
      <c r="I236" s="24"/>
      <c r="J236" s="24"/>
      <c r="K236" s="24"/>
      <c r="L236" s="24"/>
      <c r="M236" s="24"/>
      <c r="N236" s="24"/>
    </row>
    <row r="237" spans="1:14" ht="15">
      <c r="A237" s="24">
        <v>233</v>
      </c>
      <c r="B237" s="24" t="s">
        <v>436</v>
      </c>
      <c r="C237" s="24" t="s">
        <v>375</v>
      </c>
      <c r="D237" s="24">
        <v>-19</v>
      </c>
      <c r="E237" s="24"/>
      <c r="F237" s="24" t="s">
        <v>435</v>
      </c>
      <c r="G237" s="24" t="s">
        <v>227</v>
      </c>
      <c r="H237" s="24"/>
      <c r="I237" s="24"/>
      <c r="J237" s="24"/>
      <c r="K237" s="24"/>
      <c r="L237" s="24"/>
      <c r="M237" s="24"/>
      <c r="N237" s="24"/>
    </row>
    <row r="238" spans="1:14" ht="15">
      <c r="A238" s="24">
        <v>234</v>
      </c>
      <c r="B238" s="24" t="s">
        <v>434</v>
      </c>
      <c r="C238" s="24" t="s">
        <v>323</v>
      </c>
      <c r="D238" s="24">
        <v>10</v>
      </c>
      <c r="E238" s="24"/>
      <c r="F238" s="24" t="s">
        <v>433</v>
      </c>
      <c r="G238" s="24" t="s">
        <v>227</v>
      </c>
      <c r="H238" s="24"/>
      <c r="I238" s="24"/>
      <c r="J238" s="24"/>
      <c r="K238" s="24"/>
      <c r="L238" s="24"/>
      <c r="M238" s="24"/>
      <c r="N238" s="24"/>
    </row>
    <row r="239" spans="1:14" ht="15">
      <c r="A239" s="24">
        <v>235</v>
      </c>
      <c r="B239" s="24" t="s">
        <v>432</v>
      </c>
      <c r="C239" s="24" t="s">
        <v>431</v>
      </c>
      <c r="D239" s="24">
        <v>52</v>
      </c>
      <c r="E239" s="24"/>
      <c r="F239" s="24" t="s">
        <v>430</v>
      </c>
      <c r="G239" s="24" t="s">
        <v>227</v>
      </c>
      <c r="H239" s="24"/>
      <c r="I239" s="24"/>
      <c r="J239" s="24"/>
      <c r="K239" s="24"/>
      <c r="L239" s="24"/>
      <c r="M239" s="24"/>
      <c r="N239" s="24"/>
    </row>
    <row r="240" spans="1:14" ht="15">
      <c r="A240" s="24">
        <v>236</v>
      </c>
      <c r="B240" s="24" t="s">
        <v>429</v>
      </c>
      <c r="C240" s="24" t="s">
        <v>84</v>
      </c>
      <c r="D240" s="24">
        <v>1</v>
      </c>
      <c r="E240" s="24">
        <f>365-(52*7)</f>
        <v>1</v>
      </c>
      <c r="F240" s="24" t="s">
        <v>428</v>
      </c>
      <c r="G240" s="24" t="s">
        <v>227</v>
      </c>
      <c r="H240" s="24"/>
      <c r="I240" s="24"/>
      <c r="J240" s="24"/>
      <c r="K240" s="24"/>
      <c r="L240" s="24"/>
      <c r="M240" s="24"/>
      <c r="N240" s="24"/>
    </row>
    <row r="241" spans="1:14" ht="15">
      <c r="A241" s="24">
        <v>237</v>
      </c>
      <c r="B241" s="24" t="s">
        <v>427</v>
      </c>
      <c r="C241" s="24" t="s">
        <v>139</v>
      </c>
      <c r="D241" s="24">
        <v>2</v>
      </c>
      <c r="E241" s="24">
        <f>366-(52*7)</f>
        <v>2</v>
      </c>
      <c r="F241" s="24" t="s">
        <v>426</v>
      </c>
      <c r="G241" s="24" t="s">
        <v>227</v>
      </c>
      <c r="H241" s="24"/>
      <c r="I241" s="24"/>
      <c r="J241" s="24"/>
      <c r="K241" s="24"/>
      <c r="L241" s="24"/>
      <c r="M241" s="24"/>
      <c r="N241" s="24"/>
    </row>
    <row r="242" spans="1:8" ht="15">
      <c r="A242" s="24">
        <v>238</v>
      </c>
      <c r="B242" s="24" t="s">
        <v>425</v>
      </c>
      <c r="C242" s="24" t="s">
        <v>424</v>
      </c>
      <c r="D242" s="24">
        <v>104</v>
      </c>
      <c r="E242" s="24">
        <f>WorkingDays!J3</f>
        <v>104</v>
      </c>
      <c r="F242" s="24" t="s">
        <v>423</v>
      </c>
      <c r="G242" s="24" t="s">
        <v>227</v>
      </c>
      <c r="H242" s="24"/>
    </row>
    <row r="243" spans="1:8" ht="15">
      <c r="A243" s="24">
        <v>239</v>
      </c>
      <c r="B243" s="24" t="s">
        <v>422</v>
      </c>
      <c r="C243" s="24" t="s">
        <v>421</v>
      </c>
      <c r="D243" s="24">
        <v>106</v>
      </c>
      <c r="E243" s="24">
        <f>WorkingDays!J5</f>
        <v>106</v>
      </c>
      <c r="F243" s="24" t="s">
        <v>420</v>
      </c>
      <c r="G243" s="24" t="s">
        <v>227</v>
      </c>
      <c r="H243" s="24"/>
    </row>
    <row r="244" spans="1:8" ht="15">
      <c r="A244" s="24">
        <v>240</v>
      </c>
      <c r="B244" s="24" t="s">
        <v>419</v>
      </c>
      <c r="C244" s="24" t="s">
        <v>323</v>
      </c>
      <c r="D244" s="24">
        <v>10</v>
      </c>
      <c r="E244" s="24">
        <f>WorkingDays!F7</f>
        <v>10</v>
      </c>
      <c r="F244" s="24" t="s">
        <v>418</v>
      </c>
      <c r="G244" s="24" t="s">
        <v>227</v>
      </c>
      <c r="H244" s="24"/>
    </row>
    <row r="245" spans="1:8" ht="15">
      <c r="A245" s="24">
        <v>241</v>
      </c>
      <c r="B245" s="24" t="s">
        <v>417</v>
      </c>
      <c r="C245" s="24" t="s">
        <v>416</v>
      </c>
      <c r="D245" s="24">
        <v>2004</v>
      </c>
      <c r="E245" s="24"/>
      <c r="F245" s="24" t="s">
        <v>130</v>
      </c>
      <c r="G245" s="24" t="s">
        <v>227</v>
      </c>
      <c r="H245" s="24"/>
    </row>
    <row r="246" spans="1:8" ht="15">
      <c r="A246" s="24">
        <v>242</v>
      </c>
      <c r="B246" s="24" t="s">
        <v>415</v>
      </c>
      <c r="C246" s="24" t="s">
        <v>53</v>
      </c>
      <c r="D246" s="24">
        <v>0.1</v>
      </c>
      <c r="E246" s="24"/>
      <c r="F246" s="24" t="s">
        <v>414</v>
      </c>
      <c r="G246" s="24" t="s">
        <v>227</v>
      </c>
      <c r="H246" s="24"/>
    </row>
    <row r="247" spans="1:8" ht="15">
      <c r="A247" s="24">
        <v>243</v>
      </c>
      <c r="B247" s="24" t="s">
        <v>413</v>
      </c>
      <c r="C247" s="24" t="s">
        <v>77</v>
      </c>
      <c r="D247" s="24">
        <v>1</v>
      </c>
      <c r="E247" s="24"/>
      <c r="F247" s="24" t="s">
        <v>412</v>
      </c>
      <c r="G247" s="24" t="s">
        <v>227</v>
      </c>
      <c r="H247" s="24"/>
    </row>
    <row r="248" spans="1:8" ht="15">
      <c r="A248" s="24">
        <v>244</v>
      </c>
      <c r="B248" s="24" t="s">
        <v>411</v>
      </c>
      <c r="C248" s="24" t="s">
        <v>234</v>
      </c>
      <c r="D248" s="24">
        <v>251</v>
      </c>
      <c r="E248" s="24"/>
      <c r="F248" s="24" t="s">
        <v>410</v>
      </c>
      <c r="G248" s="24" t="s">
        <v>227</v>
      </c>
      <c r="H248" s="24"/>
    </row>
    <row r="249" spans="1:8" ht="15">
      <c r="A249" s="24">
        <v>245</v>
      </c>
      <c r="B249" s="24" t="s">
        <v>409</v>
      </c>
      <c r="C249" s="24" t="s">
        <v>139</v>
      </c>
      <c r="D249" s="24">
        <v>2</v>
      </c>
      <c r="E249" s="24"/>
      <c r="F249" s="24" t="s">
        <v>408</v>
      </c>
      <c r="G249" s="24" t="s">
        <v>227</v>
      </c>
      <c r="H249" s="24"/>
    </row>
    <row r="250" spans="1:8" ht="15">
      <c r="A250" s="24">
        <v>246</v>
      </c>
      <c r="B250" s="24" t="s">
        <v>407</v>
      </c>
      <c r="C250" s="24" t="s">
        <v>160</v>
      </c>
      <c r="D250" s="24"/>
      <c r="E250" s="24">
        <f>1-0.001*365</f>
        <v>0.635</v>
      </c>
      <c r="F250" s="24" t="s">
        <v>406</v>
      </c>
      <c r="G250" s="24" t="s">
        <v>227</v>
      </c>
      <c r="H250" s="24"/>
    </row>
    <row r="251" spans="1:8" ht="15">
      <c r="A251" s="24">
        <v>247</v>
      </c>
      <c r="B251" s="24" t="s">
        <v>405</v>
      </c>
      <c r="C251" s="24" t="s">
        <v>39</v>
      </c>
      <c r="D251" s="24">
        <v>2020</v>
      </c>
      <c r="E251" s="24"/>
      <c r="F251" s="24" t="s">
        <v>404</v>
      </c>
      <c r="G251" s="24" t="s">
        <v>227</v>
      </c>
      <c r="H251" s="24"/>
    </row>
    <row r="252" spans="1:8" ht="15">
      <c r="A252" s="24">
        <v>248</v>
      </c>
      <c r="B252" s="24" t="s">
        <v>403</v>
      </c>
      <c r="C252" s="24" t="s">
        <v>42</v>
      </c>
      <c r="D252" s="24">
        <v>2</v>
      </c>
      <c r="E252" s="24"/>
      <c r="F252" s="24" t="s">
        <v>402</v>
      </c>
      <c r="G252" s="24" t="s">
        <v>227</v>
      </c>
      <c r="H252" s="24"/>
    </row>
    <row r="253" spans="1:8" ht="15">
      <c r="A253" s="24">
        <v>249</v>
      </c>
      <c r="B253" s="24" t="s">
        <v>401</v>
      </c>
      <c r="C253" s="24" t="s">
        <v>400</v>
      </c>
      <c r="D253" s="24">
        <v>250</v>
      </c>
      <c r="E253" s="24"/>
      <c r="F253" s="24" t="s">
        <v>399</v>
      </c>
      <c r="G253" s="24" t="s">
        <v>227</v>
      </c>
      <c r="H253" s="24"/>
    </row>
    <row r="254" spans="1:8" ht="15">
      <c r="A254" s="24">
        <v>250</v>
      </c>
      <c r="B254" s="24" t="s">
        <v>398</v>
      </c>
      <c r="C254" s="24" t="s">
        <v>397</v>
      </c>
      <c r="D254" s="24">
        <v>4</v>
      </c>
      <c r="E254" s="24"/>
      <c r="F254" s="24"/>
      <c r="G254" s="24" t="s">
        <v>227</v>
      </c>
      <c r="H254" s="24"/>
    </row>
    <row r="255" spans="1:8" ht="15">
      <c r="A255" s="24">
        <v>251</v>
      </c>
      <c r="B255" s="24" t="s">
        <v>396</v>
      </c>
      <c r="C255" s="24" t="s">
        <v>77</v>
      </c>
      <c r="D255" s="24">
        <v>1</v>
      </c>
      <c r="E255" s="24"/>
      <c r="F255" s="24" t="s">
        <v>395</v>
      </c>
      <c r="G255" s="48" t="s">
        <v>227</v>
      </c>
      <c r="H255" s="24"/>
    </row>
    <row r="256" spans="1:8" ht="15">
      <c r="A256" s="24">
        <v>252</v>
      </c>
      <c r="B256" s="24" t="s">
        <v>394</v>
      </c>
      <c r="C256" s="24" t="s">
        <v>42</v>
      </c>
      <c r="D256" s="24">
        <v>2</v>
      </c>
      <c r="E256" s="24"/>
      <c r="F256" s="24" t="s">
        <v>393</v>
      </c>
      <c r="G256" s="24" t="s">
        <v>227</v>
      </c>
      <c r="H256" s="24" t="s">
        <v>743</v>
      </c>
    </row>
    <row r="257" spans="1:8" ht="15">
      <c r="A257" s="24">
        <v>253</v>
      </c>
      <c r="B257" s="24" t="s">
        <v>392</v>
      </c>
      <c r="C257" s="24" t="s">
        <v>84</v>
      </c>
      <c r="D257" s="24">
        <v>1</v>
      </c>
      <c r="E257" s="24"/>
      <c r="F257" s="24" t="s">
        <v>391</v>
      </c>
      <c r="G257" s="24" t="s">
        <v>227</v>
      </c>
      <c r="H257" s="24"/>
    </row>
    <row r="258" spans="1:8" ht="15">
      <c r="A258" s="24">
        <v>254</v>
      </c>
      <c r="B258" s="24" t="s">
        <v>390</v>
      </c>
      <c r="C258" s="24" t="s">
        <v>84</v>
      </c>
      <c r="D258" s="24">
        <v>1</v>
      </c>
      <c r="E258" s="24"/>
      <c r="F258" s="24" t="s">
        <v>46</v>
      </c>
      <c r="G258" s="24" t="s">
        <v>227</v>
      </c>
      <c r="H258" s="24"/>
    </row>
    <row r="259" spans="1:8" ht="15">
      <c r="A259" s="24">
        <v>255</v>
      </c>
      <c r="B259" s="24" t="s">
        <v>389</v>
      </c>
      <c r="C259" s="24" t="s">
        <v>42</v>
      </c>
      <c r="D259" s="24">
        <v>2</v>
      </c>
      <c r="E259" s="24"/>
      <c r="F259" s="24" t="s">
        <v>388</v>
      </c>
      <c r="G259" s="24" t="s">
        <v>227</v>
      </c>
      <c r="H259" s="24"/>
    </row>
    <row r="260" spans="1:8" ht="15">
      <c r="A260" s="24">
        <v>256</v>
      </c>
      <c r="B260" s="24" t="s">
        <v>387</v>
      </c>
      <c r="C260" s="24" t="s">
        <v>77</v>
      </c>
      <c r="D260" s="24">
        <v>1</v>
      </c>
      <c r="E260" s="24"/>
      <c r="F260" s="24" t="s">
        <v>386</v>
      </c>
      <c r="G260" s="24" t="s">
        <v>227</v>
      </c>
      <c r="H260" s="24"/>
    </row>
    <row r="261" spans="1:8" ht="15">
      <c r="A261" s="24">
        <v>257</v>
      </c>
      <c r="B261" s="24" t="s">
        <v>385</v>
      </c>
      <c r="C261" s="24" t="s">
        <v>42</v>
      </c>
      <c r="D261" s="24">
        <v>2</v>
      </c>
      <c r="E261" s="24"/>
      <c r="F261" s="24" t="s">
        <v>384</v>
      </c>
      <c r="G261" s="24" t="s">
        <v>227</v>
      </c>
      <c r="H261" s="24"/>
    </row>
    <row r="262" spans="1:8" ht="15">
      <c r="A262" s="24">
        <v>258</v>
      </c>
      <c r="B262" s="24" t="s">
        <v>383</v>
      </c>
      <c r="C262" s="24" t="s">
        <v>86</v>
      </c>
      <c r="D262" s="24">
        <v>8</v>
      </c>
      <c r="E262" s="24"/>
      <c r="F262" s="24" t="s">
        <v>46</v>
      </c>
      <c r="G262" s="24" t="s">
        <v>227</v>
      </c>
      <c r="H262" s="24"/>
    </row>
    <row r="263" spans="1:8" ht="15">
      <c r="A263" s="24">
        <v>259</v>
      </c>
      <c r="B263" s="24" t="s">
        <v>382</v>
      </c>
      <c r="C263" s="24" t="s">
        <v>139</v>
      </c>
      <c r="D263" s="24">
        <v>2</v>
      </c>
      <c r="E263" s="24"/>
      <c r="F263" s="24" t="s">
        <v>381</v>
      </c>
      <c r="G263" s="24" t="s">
        <v>227</v>
      </c>
      <c r="H263" s="24"/>
    </row>
    <row r="264" spans="1:8" ht="15">
      <c r="A264" s="24">
        <v>260</v>
      </c>
      <c r="B264" s="24" t="s">
        <v>380</v>
      </c>
      <c r="C264" s="24" t="s">
        <v>86</v>
      </c>
      <c r="D264" s="24">
        <v>8</v>
      </c>
      <c r="E264" s="24"/>
      <c r="F264" s="24" t="s">
        <v>379</v>
      </c>
      <c r="G264" s="24" t="s">
        <v>227</v>
      </c>
      <c r="H264" s="24"/>
    </row>
    <row r="265" spans="1:8" ht="15">
      <c r="A265" s="24">
        <v>261</v>
      </c>
      <c r="B265" s="24" t="s">
        <v>378</v>
      </c>
      <c r="C265" s="24" t="s">
        <v>39</v>
      </c>
      <c r="D265" s="24">
        <v>2020</v>
      </c>
      <c r="E265" s="24"/>
      <c r="F265" s="24" t="s">
        <v>377</v>
      </c>
      <c r="G265" s="24" t="s">
        <v>227</v>
      </c>
      <c r="H265" s="24"/>
    </row>
    <row r="266" spans="1:8" ht="15">
      <c r="A266" s="24">
        <v>262</v>
      </c>
      <c r="B266" s="24" t="s">
        <v>376</v>
      </c>
      <c r="C266" s="24" t="s">
        <v>375</v>
      </c>
      <c r="D266" s="24">
        <v>-19</v>
      </c>
      <c r="E266" s="24"/>
      <c r="F266" s="24" t="s">
        <v>374</v>
      </c>
      <c r="G266" s="24" t="s">
        <v>227</v>
      </c>
      <c r="H266" s="24"/>
    </row>
    <row r="267" spans="1:8" ht="15">
      <c r="A267" s="24">
        <v>263</v>
      </c>
      <c r="B267" s="24" t="s">
        <v>373</v>
      </c>
      <c r="C267" s="24" t="s">
        <v>372</v>
      </c>
      <c r="D267" s="24">
        <v>1918</v>
      </c>
      <c r="E267" s="24"/>
      <c r="F267" s="24" t="s">
        <v>371</v>
      </c>
      <c r="G267" s="24" t="s">
        <v>227</v>
      </c>
      <c r="H267" s="24"/>
    </row>
    <row r="268" spans="1:8" ht="15">
      <c r="A268" s="24">
        <v>264</v>
      </c>
      <c r="B268" s="24" t="s">
        <v>370</v>
      </c>
      <c r="C268" s="24" t="s">
        <v>86</v>
      </c>
      <c r="D268" s="24">
        <v>8</v>
      </c>
      <c r="E268" s="24"/>
      <c r="F268" s="24" t="s">
        <v>61</v>
      </c>
      <c r="G268" s="24" t="s">
        <v>227</v>
      </c>
      <c r="H268" s="24"/>
    </row>
    <row r="269" spans="1:8" ht="15">
      <c r="A269" s="24">
        <v>265</v>
      </c>
      <c r="B269" s="24" t="s">
        <v>369</v>
      </c>
      <c r="C269" s="24" t="s">
        <v>39</v>
      </c>
      <c r="D269" s="24">
        <v>2020</v>
      </c>
      <c r="E269" s="24"/>
      <c r="F269" s="24" t="s">
        <v>368</v>
      </c>
      <c r="G269" s="24" t="s">
        <v>227</v>
      </c>
      <c r="H269" s="24"/>
    </row>
    <row r="270" spans="1:8" ht="15">
      <c r="A270" s="24">
        <v>266</v>
      </c>
      <c r="B270" s="24" t="s">
        <v>367</v>
      </c>
      <c r="C270" s="24" t="s">
        <v>222</v>
      </c>
      <c r="D270" s="24">
        <v>20</v>
      </c>
      <c r="E270" s="24"/>
      <c r="F270" s="24" t="s">
        <v>61</v>
      </c>
      <c r="G270" s="24" t="s">
        <v>227</v>
      </c>
      <c r="H270" s="24"/>
    </row>
    <row r="271" spans="1:8" ht="15">
      <c r="A271" s="24">
        <v>267</v>
      </c>
      <c r="B271" s="24" t="s">
        <v>366</v>
      </c>
      <c r="C271" s="24" t="s">
        <v>39</v>
      </c>
      <c r="D271" s="24">
        <v>2020</v>
      </c>
      <c r="E271" s="24"/>
      <c r="F271" s="24" t="s">
        <v>365</v>
      </c>
      <c r="G271" s="24" t="s">
        <v>227</v>
      </c>
      <c r="H271" s="24"/>
    </row>
    <row r="272" spans="1:8" ht="15">
      <c r="A272" s="24">
        <v>268</v>
      </c>
      <c r="B272" s="24" t="s">
        <v>364</v>
      </c>
      <c r="C272" s="24" t="s">
        <v>323</v>
      </c>
      <c r="D272" s="24">
        <v>10</v>
      </c>
      <c r="E272" s="24"/>
      <c r="F272" s="24" t="s">
        <v>363</v>
      </c>
      <c r="G272" s="24" t="s">
        <v>227</v>
      </c>
      <c r="H272" s="24" t="s">
        <v>771</v>
      </c>
    </row>
    <row r="273" spans="1:8" ht="15">
      <c r="A273" s="24">
        <v>269</v>
      </c>
      <c r="B273" s="24" t="s">
        <v>362</v>
      </c>
      <c r="C273" s="24" t="s">
        <v>207</v>
      </c>
      <c r="D273" s="24">
        <v>2017</v>
      </c>
      <c r="E273" s="24"/>
      <c r="F273" s="24" t="s">
        <v>361</v>
      </c>
      <c r="G273" s="24" t="s">
        <v>227</v>
      </c>
      <c r="H273" s="24"/>
    </row>
    <row r="274" spans="1:8" ht="15">
      <c r="A274" s="24">
        <v>270</v>
      </c>
      <c r="B274" s="24" t="s">
        <v>360</v>
      </c>
      <c r="C274" s="24" t="s">
        <v>174</v>
      </c>
      <c r="D274" s="24">
        <v>2018</v>
      </c>
      <c r="E274" s="24"/>
      <c r="F274" s="24" t="s">
        <v>359</v>
      </c>
      <c r="G274" s="24" t="s">
        <v>227</v>
      </c>
      <c r="H274" s="24"/>
    </row>
    <row r="275" spans="1:8" ht="15">
      <c r="A275" s="24">
        <v>271</v>
      </c>
      <c r="B275" s="24" t="s">
        <v>358</v>
      </c>
      <c r="C275" s="24" t="s">
        <v>84</v>
      </c>
      <c r="D275" s="24">
        <v>1</v>
      </c>
      <c r="E275" s="24"/>
      <c r="F275" s="24" t="s">
        <v>357</v>
      </c>
      <c r="G275" s="24" t="s">
        <v>227</v>
      </c>
      <c r="H275" s="24"/>
    </row>
    <row r="276" spans="1:8" ht="15">
      <c r="A276" s="24">
        <v>272</v>
      </c>
      <c r="B276" s="24" t="s">
        <v>356</v>
      </c>
      <c r="C276" s="24" t="s">
        <v>84</v>
      </c>
      <c r="D276" s="24">
        <v>1</v>
      </c>
      <c r="E276" s="24"/>
      <c r="F276" s="24" t="s">
        <v>355</v>
      </c>
      <c r="G276" s="24" t="s">
        <v>227</v>
      </c>
      <c r="H276" s="24"/>
    </row>
    <row r="277" spans="1:8" ht="15">
      <c r="A277" s="24">
        <v>273</v>
      </c>
      <c r="B277" s="24" t="s">
        <v>354</v>
      </c>
      <c r="C277" s="24" t="s">
        <v>209</v>
      </c>
      <c r="D277" s="24">
        <v>4</v>
      </c>
      <c r="E277" s="24"/>
      <c r="F277" s="24" t="s">
        <v>353</v>
      </c>
      <c r="G277" s="24" t="s">
        <v>227</v>
      </c>
      <c r="H277" s="24" t="s">
        <v>772</v>
      </c>
    </row>
    <row r="278" spans="1:8" ht="15">
      <c r="A278" s="24">
        <v>274</v>
      </c>
      <c r="B278" s="24" t="s">
        <v>352</v>
      </c>
      <c r="C278" s="24" t="s">
        <v>139</v>
      </c>
      <c r="D278" s="24">
        <v>2</v>
      </c>
      <c r="E278" s="24"/>
      <c r="F278" s="24" t="s">
        <v>351</v>
      </c>
      <c r="G278" s="24" t="s">
        <v>227</v>
      </c>
      <c r="H278" s="24"/>
    </row>
    <row r="279" spans="1:8" ht="15">
      <c r="A279" s="24">
        <v>275</v>
      </c>
      <c r="B279" s="24" t="s">
        <v>350</v>
      </c>
      <c r="C279" s="24" t="s">
        <v>191</v>
      </c>
      <c r="D279" s="24">
        <v>2019</v>
      </c>
      <c r="E279" s="24"/>
      <c r="F279" s="24" t="s">
        <v>349</v>
      </c>
      <c r="G279" s="24" t="s">
        <v>227</v>
      </c>
      <c r="H279" s="24"/>
    </row>
    <row r="280" spans="1:8" ht="15">
      <c r="A280" s="24">
        <v>276</v>
      </c>
      <c r="B280" s="24" t="s">
        <v>348</v>
      </c>
      <c r="C280" s="24" t="s">
        <v>347</v>
      </c>
      <c r="D280" s="24">
        <v>12</v>
      </c>
      <c r="E280" s="24"/>
      <c r="F280" s="24" t="s">
        <v>346</v>
      </c>
      <c r="G280" s="48" t="s">
        <v>227</v>
      </c>
      <c r="H280" s="24"/>
    </row>
    <row r="281" spans="1:8" ht="15">
      <c r="A281" s="24">
        <v>277</v>
      </c>
      <c r="B281" s="24" t="s">
        <v>345</v>
      </c>
      <c r="C281" s="24" t="s">
        <v>344</v>
      </c>
      <c r="D281" s="24">
        <v>-1</v>
      </c>
      <c r="E281" s="24"/>
      <c r="F281" s="24" t="s">
        <v>130</v>
      </c>
      <c r="G281" s="24" t="s">
        <v>227</v>
      </c>
      <c r="H281" s="24"/>
    </row>
    <row r="282" spans="1:8" ht="15">
      <c r="A282" s="24">
        <v>278</v>
      </c>
      <c r="B282" s="24" t="s">
        <v>343</v>
      </c>
      <c r="C282" s="24" t="s">
        <v>342</v>
      </c>
      <c r="D282" s="24">
        <v>2008</v>
      </c>
      <c r="E282" s="24"/>
      <c r="F282" s="24" t="s">
        <v>341</v>
      </c>
      <c r="G282" s="24" t="s">
        <v>227</v>
      </c>
      <c r="H282" s="24"/>
    </row>
    <row r="283" spans="1:8" ht="15">
      <c r="A283" s="24">
        <v>279</v>
      </c>
      <c r="B283" s="24" t="s">
        <v>340</v>
      </c>
      <c r="C283" s="24" t="s">
        <v>191</v>
      </c>
      <c r="D283" s="24">
        <v>2019</v>
      </c>
      <c r="E283" s="24"/>
      <c r="F283" s="24" t="s">
        <v>339</v>
      </c>
      <c r="G283" s="24" t="s">
        <v>227</v>
      </c>
      <c r="H283" s="24"/>
    </row>
    <row r="284" spans="1:8" ht="15">
      <c r="A284" s="24">
        <v>280</v>
      </c>
      <c r="B284" s="24" t="s">
        <v>338</v>
      </c>
      <c r="C284" s="24" t="s">
        <v>337</v>
      </c>
      <c r="D284" s="24">
        <v>1974</v>
      </c>
      <c r="E284" s="24"/>
      <c r="F284" s="24" t="s">
        <v>336</v>
      </c>
      <c r="G284" s="24" t="s">
        <v>227</v>
      </c>
      <c r="H284" s="24"/>
    </row>
    <row r="285" spans="1:8" ht="15">
      <c r="A285" s="24">
        <v>281</v>
      </c>
      <c r="B285" s="24" t="s">
        <v>335</v>
      </c>
      <c r="C285" s="24" t="s">
        <v>77</v>
      </c>
      <c r="D285" s="24">
        <v>1</v>
      </c>
      <c r="E285" s="24"/>
      <c r="F285" s="24" t="s">
        <v>334</v>
      </c>
      <c r="G285" s="24" t="s">
        <v>227</v>
      </c>
      <c r="H285" s="24"/>
    </row>
    <row r="286" spans="1:8" ht="15">
      <c r="A286" s="24">
        <v>282</v>
      </c>
      <c r="B286" s="24" t="s">
        <v>333</v>
      </c>
      <c r="C286" s="24" t="s">
        <v>42</v>
      </c>
      <c r="D286" s="24">
        <v>2</v>
      </c>
      <c r="E286" s="24"/>
      <c r="F286" s="24" t="s">
        <v>332</v>
      </c>
      <c r="G286" s="24" t="s">
        <v>227</v>
      </c>
      <c r="H286" s="24"/>
    </row>
    <row r="287" spans="1:8" ht="15">
      <c r="A287" s="24">
        <v>283</v>
      </c>
      <c r="B287" s="24" t="s">
        <v>331</v>
      </c>
      <c r="C287" s="24" t="s">
        <v>330</v>
      </c>
      <c r="D287" s="24">
        <v>0.49</v>
      </c>
      <c r="E287" s="24">
        <f>0.7^2</f>
        <v>0.48999999999999994</v>
      </c>
      <c r="F287" s="24" t="s">
        <v>329</v>
      </c>
      <c r="G287" s="24" t="s">
        <v>227</v>
      </c>
      <c r="H287" s="24"/>
    </row>
    <row r="288" spans="1:8" ht="15">
      <c r="A288" s="24">
        <v>284</v>
      </c>
      <c r="B288" s="24" t="s">
        <v>328</v>
      </c>
      <c r="C288" s="24" t="s">
        <v>327</v>
      </c>
      <c r="D288" s="24">
        <v>0.72</v>
      </c>
      <c r="E288" s="24"/>
      <c r="F288" s="24" t="s">
        <v>130</v>
      </c>
      <c r="G288" s="24" t="s">
        <v>227</v>
      </c>
      <c r="H288" s="24" t="s">
        <v>773</v>
      </c>
    </row>
    <row r="289" spans="1:8" ht="15">
      <c r="A289" s="24">
        <v>285</v>
      </c>
      <c r="B289" s="24" t="s">
        <v>326</v>
      </c>
      <c r="C289" s="24" t="s">
        <v>141</v>
      </c>
      <c r="D289" s="24">
        <v>1</v>
      </c>
      <c r="E289" s="24"/>
      <c r="F289" s="24"/>
      <c r="G289" s="48" t="s">
        <v>227</v>
      </c>
      <c r="H289" s="24"/>
    </row>
    <row r="290" spans="1:8" ht="15">
      <c r="A290" s="24">
        <v>286</v>
      </c>
      <c r="B290" s="24" t="s">
        <v>325</v>
      </c>
      <c r="C290" s="24" t="s">
        <v>186</v>
      </c>
      <c r="D290" s="24">
        <v>1998</v>
      </c>
      <c r="E290" s="24"/>
      <c r="F290" s="24" t="s">
        <v>130</v>
      </c>
      <c r="G290" s="48" t="s">
        <v>227</v>
      </c>
      <c r="H290" s="24"/>
    </row>
    <row r="291" spans="1:8" ht="15">
      <c r="A291" s="24">
        <v>287</v>
      </c>
      <c r="B291" s="24" t="s">
        <v>324</v>
      </c>
      <c r="C291" s="24" t="s">
        <v>323</v>
      </c>
      <c r="D291" s="24">
        <v>10</v>
      </c>
      <c r="E291" s="24"/>
      <c r="F291" s="24" t="s">
        <v>322</v>
      </c>
      <c r="G291" s="24" t="s">
        <v>227</v>
      </c>
      <c r="H291" s="24"/>
    </row>
    <row r="292" spans="1:8" ht="15">
      <c r="A292" s="24">
        <v>288</v>
      </c>
      <c r="B292" s="24" t="s">
        <v>321</v>
      </c>
      <c r="C292" s="24" t="s">
        <v>191</v>
      </c>
      <c r="D292" s="24">
        <v>2019</v>
      </c>
      <c r="E292" s="24"/>
      <c r="F292" s="24" t="s">
        <v>130</v>
      </c>
      <c r="G292" s="24" t="s">
        <v>227</v>
      </c>
      <c r="H292" s="24"/>
    </row>
    <row r="293" spans="1:8" ht="15">
      <c r="A293" s="24">
        <v>289</v>
      </c>
      <c r="B293" s="24" t="s">
        <v>320</v>
      </c>
      <c r="C293" s="24" t="s">
        <v>203</v>
      </c>
      <c r="D293" s="24">
        <v>2016</v>
      </c>
      <c r="E293" s="24"/>
      <c r="F293" s="24" t="s">
        <v>319</v>
      </c>
      <c r="G293" s="24" t="s">
        <v>227</v>
      </c>
      <c r="H293" s="24"/>
    </row>
    <row r="294" spans="1:8" ht="15">
      <c r="A294" s="24">
        <v>290</v>
      </c>
      <c r="B294" s="24" t="s">
        <v>318</v>
      </c>
      <c r="C294" s="24" t="s">
        <v>207</v>
      </c>
      <c r="D294" s="24">
        <v>2017</v>
      </c>
      <c r="E294" s="24"/>
      <c r="F294" s="24" t="s">
        <v>317</v>
      </c>
      <c r="G294" s="24" t="s">
        <v>227</v>
      </c>
      <c r="H294" s="24"/>
    </row>
    <row r="295" spans="1:8" ht="15">
      <c r="A295" s="24">
        <v>291</v>
      </c>
      <c r="B295" s="24" t="s">
        <v>316</v>
      </c>
      <c r="C295" s="24" t="s">
        <v>315</v>
      </c>
      <c r="D295" s="24">
        <v>115</v>
      </c>
      <c r="E295" s="24"/>
      <c r="F295" s="24" t="s">
        <v>314</v>
      </c>
      <c r="G295" s="24" t="s">
        <v>227</v>
      </c>
      <c r="H295" s="24"/>
    </row>
    <row r="296" spans="1:8" ht="15">
      <c r="A296" s="24">
        <v>292</v>
      </c>
      <c r="B296" s="24" t="s">
        <v>313</v>
      </c>
      <c r="C296" s="24" t="s">
        <v>99</v>
      </c>
      <c r="D296" s="24">
        <v>10</v>
      </c>
      <c r="E296" s="24"/>
      <c r="F296" s="24" t="s">
        <v>312</v>
      </c>
      <c r="G296" s="24" t="s">
        <v>227</v>
      </c>
      <c r="H296" s="24" t="s">
        <v>774</v>
      </c>
    </row>
    <row r="297" spans="1:8" ht="15">
      <c r="A297" s="24">
        <v>293</v>
      </c>
      <c r="B297" s="24" t="s">
        <v>311</v>
      </c>
      <c r="C297" s="24" t="s">
        <v>39</v>
      </c>
      <c r="D297" s="24">
        <v>2020</v>
      </c>
      <c r="E297" s="24"/>
      <c r="F297" s="24" t="s">
        <v>130</v>
      </c>
      <c r="G297" s="24" t="s">
        <v>227</v>
      </c>
      <c r="H297" s="24"/>
    </row>
    <row r="298" spans="1:8" ht="15">
      <c r="A298" s="24">
        <v>294</v>
      </c>
      <c r="B298" s="24" t="s">
        <v>310</v>
      </c>
      <c r="C298" s="24" t="s">
        <v>77</v>
      </c>
      <c r="D298" s="24">
        <v>1</v>
      </c>
      <c r="E298" s="24"/>
      <c r="F298" s="24" t="s">
        <v>309</v>
      </c>
      <c r="G298" s="24" t="s">
        <v>227</v>
      </c>
      <c r="H298" s="24"/>
    </row>
    <row r="299" ht="15">
      <c r="H299" s="24"/>
    </row>
    <row r="300" ht="15">
      <c r="H300" s="24"/>
    </row>
    <row r="301" ht="15">
      <c r="H301" s="24"/>
    </row>
    <row r="302" ht="15">
      <c r="H302" s="24"/>
    </row>
    <row r="303" ht="15">
      <c r="H303" s="24"/>
    </row>
    <row r="304" ht="15">
      <c r="H304" s="24"/>
    </row>
    <row r="305" ht="15">
      <c r="H305" s="24"/>
    </row>
    <row r="306" ht="15">
      <c r="H306" s="24"/>
    </row>
    <row r="307" ht="15">
      <c r="H307" s="24"/>
    </row>
    <row r="308" ht="15">
      <c r="H308" s="24"/>
    </row>
    <row r="309" ht="15">
      <c r="H309" s="24"/>
    </row>
    <row r="310" ht="15">
      <c r="H310" s="24"/>
    </row>
    <row r="311" ht="15">
      <c r="H311" s="24"/>
    </row>
    <row r="312" ht="15">
      <c r="H312" s="24"/>
    </row>
    <row r="313" ht="15">
      <c r="H313" s="24"/>
    </row>
    <row r="314" ht="15">
      <c r="H314" s="24"/>
    </row>
    <row r="315" ht="15">
      <c r="H315" s="24"/>
    </row>
    <row r="316" ht="15">
      <c r="H316" s="24"/>
    </row>
    <row r="317" ht="15">
      <c r="H317" s="24"/>
    </row>
    <row r="318" ht="15">
      <c r="H318" s="24"/>
    </row>
    <row r="319" ht="15">
      <c r="H319" s="24"/>
    </row>
    <row r="320" ht="15">
      <c r="H320" s="24"/>
    </row>
    <row r="321" ht="15">
      <c r="H321" s="24"/>
    </row>
    <row r="322" ht="15">
      <c r="H322" s="24"/>
    </row>
    <row r="323" ht="15">
      <c r="H323" s="24"/>
    </row>
    <row r="324" ht="15">
      <c r="H324" s="24"/>
    </row>
    <row r="325" ht="15">
      <c r="H325" s="24"/>
    </row>
    <row r="326" ht="15">
      <c r="H326" s="24"/>
    </row>
    <row r="327" ht="15">
      <c r="H327" s="24"/>
    </row>
    <row r="328" ht="15">
      <c r="H328" s="24"/>
    </row>
    <row r="329" ht="15">
      <c r="H329" s="24"/>
    </row>
    <row r="330" ht="15">
      <c r="H330" s="24"/>
    </row>
    <row r="331" ht="15">
      <c r="H331" s="24"/>
    </row>
    <row r="332" ht="15">
      <c r="H332" s="24"/>
    </row>
    <row r="333" ht="15">
      <c r="H333" s="24"/>
    </row>
    <row r="334" ht="15">
      <c r="H334" s="24"/>
    </row>
    <row r="335" ht="15">
      <c r="H335" s="24"/>
    </row>
    <row r="336" ht="15">
      <c r="H336" s="24"/>
    </row>
    <row r="337" ht="15">
      <c r="H337" s="24"/>
    </row>
    <row r="338" ht="15">
      <c r="H338" s="24"/>
    </row>
    <row r="339" ht="15">
      <c r="H339" s="24"/>
    </row>
    <row r="340" ht="15">
      <c r="H340" s="24"/>
    </row>
    <row r="341" ht="15">
      <c r="H341" s="24"/>
    </row>
    <row r="342" ht="15">
      <c r="H342" s="24"/>
    </row>
    <row r="343" ht="15">
      <c r="H343" s="24"/>
    </row>
    <row r="344" ht="15">
      <c r="H344" s="24"/>
    </row>
    <row r="345" ht="15">
      <c r="H345" s="24"/>
    </row>
    <row r="346" ht="15">
      <c r="H346" s="24"/>
    </row>
    <row r="347" ht="15">
      <c r="H347" s="24"/>
    </row>
    <row r="348" ht="15">
      <c r="H348" s="24"/>
    </row>
    <row r="349" ht="15">
      <c r="H349" s="24"/>
    </row>
    <row r="350" ht="15">
      <c r="H350" s="24"/>
    </row>
    <row r="351" ht="15">
      <c r="H351" s="24"/>
    </row>
    <row r="352" ht="15">
      <c r="H352" s="24"/>
    </row>
    <row r="353" ht="15">
      <c r="H353" s="24"/>
    </row>
    <row r="354" ht="15">
      <c r="H354" s="24"/>
    </row>
    <row r="355" ht="15">
      <c r="H355" s="24"/>
    </row>
    <row r="356" ht="15">
      <c r="H356" s="24"/>
    </row>
    <row r="357" ht="15">
      <c r="H357" s="24"/>
    </row>
    <row r="358" ht="15">
      <c r="H358" s="24"/>
    </row>
    <row r="359" ht="15">
      <c r="H359" s="24"/>
    </row>
    <row r="360" ht="15">
      <c r="H360" s="24"/>
    </row>
  </sheetData>
  <hyperlinks>
    <hyperlink ref="H78" r:id="rId1" display="https://www.govexec.com/pay-benefits/2019/09/agencies-paid-federal-employees-37-billion-not-work-during-recent-shutdowns/159936/"/>
    <hyperlink ref="H115" r:id="rId2" display="https://www.bls.gov/news.release/empsit.a.htm"/>
  </hyperlinks>
  <printOptions/>
  <pageMargins left="0.7" right="0.7" top="0.75" bottom="0.75" header="0.3" footer="0.3"/>
  <pageSetup horizontalDpi="600" verticalDpi="60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48"/>
  <sheetViews>
    <sheetView workbookViewId="0" topLeftCell="A1"/>
  </sheetViews>
  <sheetFormatPr defaultColWidth="11.00390625" defaultRowHeight="15.75"/>
  <sheetData>
    <row r="3" spans="6:11" ht="15.75">
      <c r="F3">
        <v>250</v>
      </c>
      <c r="G3" s="25">
        <f>COUNTIF($G$7:$G$48,F3)/COUNT($G$7:$G$48)</f>
        <v>0.2619047619047619</v>
      </c>
      <c r="H3">
        <v>114</v>
      </c>
      <c r="I3" s="25">
        <f>COUNTIF($H$7:$H$48,H3)/COUNT($H$7:$H$48)</f>
        <v>0.6904761904761905</v>
      </c>
      <c r="J3">
        <v>104</v>
      </c>
      <c r="K3" s="25">
        <f>COUNTIF($I$7:$I$48,J3)/COUNT($I$7:$I$48)</f>
        <v>0.6904761904761905</v>
      </c>
    </row>
    <row r="4" spans="6:11" ht="15.75">
      <c r="F4">
        <v>251</v>
      </c>
      <c r="G4" s="25">
        <f>COUNTIF($G$7:$G$48,F4)/COUNT($G$7:$G$48)</f>
        <v>0.5714285714285714</v>
      </c>
      <c r="H4">
        <v>115</v>
      </c>
      <c r="I4" s="25">
        <f>COUNTIF($H$7:$H$48,H4)/COUNT($H$7:$H$48)</f>
        <v>0.2619047619047619</v>
      </c>
      <c r="J4">
        <v>105</v>
      </c>
      <c r="K4" s="25">
        <f>COUNTIF($I$7:$I$48,J4)/COUNT($I$7:$I$48)</f>
        <v>0.2619047619047619</v>
      </c>
    </row>
    <row r="5" spans="6:17" ht="15.75">
      <c r="F5">
        <v>252</v>
      </c>
      <c r="G5" s="25">
        <f>COUNTIF($G$7:$G$48,F5)/COUNT($G$7:$G$48)</f>
        <v>0.16666666666666666</v>
      </c>
      <c r="H5">
        <v>116</v>
      </c>
      <c r="I5" s="25">
        <f>COUNTIF($H$7:$H$48,H5)/COUNT($H$7:$H$48)</f>
        <v>0.047619047619047616</v>
      </c>
      <c r="J5">
        <v>106</v>
      </c>
      <c r="K5" s="25">
        <f>COUNTIF($I$7:$I$48,J5)/COUNT($I$7:$I$48)</f>
        <v>0.047619047619047616</v>
      </c>
      <c r="L5" s="64" t="s">
        <v>746</v>
      </c>
      <c r="M5" s="64"/>
      <c r="N5" s="64"/>
      <c r="O5" s="64"/>
      <c r="P5" s="64"/>
      <c r="Q5" s="64"/>
    </row>
    <row r="6" spans="4:17" ht="15.75">
      <c r="D6" s="26" t="s">
        <v>228</v>
      </c>
      <c r="E6" s="26" t="s">
        <v>229</v>
      </c>
      <c r="F6" t="s">
        <v>230</v>
      </c>
      <c r="G6" t="s">
        <v>231</v>
      </c>
      <c r="H6" t="s">
        <v>232</v>
      </c>
      <c r="I6" t="s">
        <v>233</v>
      </c>
      <c r="L6" s="26" t="s">
        <v>228</v>
      </c>
      <c r="M6" s="26" t="s">
        <v>229</v>
      </c>
      <c r="N6" t="s">
        <v>230</v>
      </c>
      <c r="O6" t="s">
        <v>231</v>
      </c>
      <c r="P6" t="s">
        <v>232</v>
      </c>
      <c r="Q6" t="s">
        <v>233</v>
      </c>
    </row>
    <row r="7" spans="1:17" ht="15.75">
      <c r="A7">
        <v>2020</v>
      </c>
      <c r="B7" s="27">
        <f>DATE(A7,1,1)</f>
        <v>43831</v>
      </c>
      <c r="C7" s="27">
        <f>DATE(A7,12,31)</f>
        <v>44196</v>
      </c>
      <c r="D7">
        <f>C7-B7+1</f>
        <v>366</v>
      </c>
      <c r="E7">
        <f>NETWORKDAYS(DATE(A7,1,1),DATE(A7,12,31))</f>
        <v>262</v>
      </c>
      <c r="F7">
        <v>10</v>
      </c>
      <c r="G7">
        <f>E7-F7</f>
        <v>252</v>
      </c>
      <c r="H7">
        <f>D7-G7</f>
        <v>114</v>
      </c>
      <c r="I7">
        <f>D7-E7</f>
        <v>104</v>
      </c>
      <c r="L7">
        <f>DATE($A7,7,1)-DATE($A7,4,1)</f>
        <v>91</v>
      </c>
      <c r="M7">
        <f>NETWORKDAYS(DATE($A7,4,1),DATE($A7,6,30))</f>
        <v>65</v>
      </c>
      <c r="N7">
        <v>1</v>
      </c>
      <c r="O7">
        <f>M7-N7</f>
        <v>64</v>
      </c>
      <c r="P7">
        <f>L7-O7</f>
        <v>27</v>
      </c>
      <c r="Q7">
        <f>L7-M7</f>
        <v>26</v>
      </c>
    </row>
    <row r="8" spans="1:17" ht="15.75">
      <c r="A8">
        <v>2021</v>
      </c>
      <c r="B8" s="27">
        <f aca="true" t="shared" si="0" ref="B8:B48">DATE(A8,1,1)</f>
        <v>44197</v>
      </c>
      <c r="C8" s="27">
        <f aca="true" t="shared" si="1" ref="C8:C48">DATE(A8,12,31)</f>
        <v>44561</v>
      </c>
      <c r="D8">
        <f aca="true" t="shared" si="2" ref="D8:D48">C8-B8+1</f>
        <v>365</v>
      </c>
      <c r="E8">
        <f aca="true" t="shared" si="3" ref="E8:E48">NETWORKDAYS(DATE(A8,1,1),DATE(A8,12,31))</f>
        <v>261</v>
      </c>
      <c r="F8">
        <v>10</v>
      </c>
      <c r="G8">
        <f aca="true" t="shared" si="4" ref="G8:G48">E8-F8</f>
        <v>251</v>
      </c>
      <c r="H8">
        <f aca="true" t="shared" si="5" ref="H8:H48">D8-G8</f>
        <v>114</v>
      </c>
      <c r="I8">
        <f aca="true" t="shared" si="6" ref="I8:I48">D8-E8</f>
        <v>104</v>
      </c>
      <c r="L8">
        <f aca="true" t="shared" si="7" ref="L8:L48">DATE($A8,7,1)-DATE($A8,4,1)</f>
        <v>91</v>
      </c>
      <c r="M8">
        <f aca="true" t="shared" si="8" ref="M8:M48">NETWORKDAYS(DATE($A8,4,1),DATE($A8,6,30))</f>
        <v>65</v>
      </c>
      <c r="N8">
        <v>1</v>
      </c>
      <c r="O8">
        <f aca="true" t="shared" si="9" ref="O8:O48">M8-N8</f>
        <v>64</v>
      </c>
      <c r="P8">
        <f aca="true" t="shared" si="10" ref="P8:P48">L8-O8</f>
        <v>27</v>
      </c>
      <c r="Q8">
        <f aca="true" t="shared" si="11" ref="Q8:Q48">L8-M8</f>
        <v>26</v>
      </c>
    </row>
    <row r="9" spans="1:17" ht="15.75">
      <c r="A9">
        <v>2022</v>
      </c>
      <c r="B9" s="27">
        <f t="shared" si="0"/>
        <v>44562</v>
      </c>
      <c r="C9" s="27">
        <f t="shared" si="1"/>
        <v>44926</v>
      </c>
      <c r="D9">
        <f t="shared" si="2"/>
        <v>365</v>
      </c>
      <c r="E9">
        <f t="shared" si="3"/>
        <v>260</v>
      </c>
      <c r="F9">
        <v>10</v>
      </c>
      <c r="G9">
        <f t="shared" si="4"/>
        <v>250</v>
      </c>
      <c r="H9">
        <f t="shared" si="5"/>
        <v>115</v>
      </c>
      <c r="I9">
        <f t="shared" si="6"/>
        <v>105</v>
      </c>
      <c r="L9">
        <f t="shared" si="7"/>
        <v>91</v>
      </c>
      <c r="M9">
        <f t="shared" si="8"/>
        <v>65</v>
      </c>
      <c r="N9">
        <v>1</v>
      </c>
      <c r="O9">
        <f t="shared" si="9"/>
        <v>64</v>
      </c>
      <c r="P9">
        <f t="shared" si="10"/>
        <v>27</v>
      </c>
      <c r="Q9">
        <f t="shared" si="11"/>
        <v>26</v>
      </c>
    </row>
    <row r="10" spans="1:17" ht="15.75">
      <c r="A10">
        <v>2023</v>
      </c>
      <c r="B10" s="27">
        <f t="shared" si="0"/>
        <v>44927</v>
      </c>
      <c r="C10" s="27">
        <f t="shared" si="1"/>
        <v>45291</v>
      </c>
      <c r="D10">
        <f t="shared" si="2"/>
        <v>365</v>
      </c>
      <c r="E10">
        <f t="shared" si="3"/>
        <v>260</v>
      </c>
      <c r="F10">
        <v>10</v>
      </c>
      <c r="G10">
        <f t="shared" si="4"/>
        <v>250</v>
      </c>
      <c r="H10">
        <f t="shared" si="5"/>
        <v>115</v>
      </c>
      <c r="I10">
        <f t="shared" si="6"/>
        <v>105</v>
      </c>
      <c r="L10">
        <f t="shared" si="7"/>
        <v>91</v>
      </c>
      <c r="M10">
        <f t="shared" si="8"/>
        <v>65</v>
      </c>
      <c r="N10">
        <v>1</v>
      </c>
      <c r="O10">
        <f t="shared" si="9"/>
        <v>64</v>
      </c>
      <c r="P10">
        <f t="shared" si="10"/>
        <v>27</v>
      </c>
      <c r="Q10">
        <f t="shared" si="11"/>
        <v>26</v>
      </c>
    </row>
    <row r="11" spans="1:17" ht="15.75">
      <c r="A11">
        <v>2024</v>
      </c>
      <c r="B11" s="27">
        <f t="shared" si="0"/>
        <v>45292</v>
      </c>
      <c r="C11" s="27">
        <f t="shared" si="1"/>
        <v>45657</v>
      </c>
      <c r="D11">
        <f t="shared" si="2"/>
        <v>366</v>
      </c>
      <c r="E11">
        <f t="shared" si="3"/>
        <v>262</v>
      </c>
      <c r="F11">
        <v>10</v>
      </c>
      <c r="G11">
        <f t="shared" si="4"/>
        <v>252</v>
      </c>
      <c r="H11">
        <f t="shared" si="5"/>
        <v>114</v>
      </c>
      <c r="I11">
        <f t="shared" si="6"/>
        <v>104</v>
      </c>
      <c r="L11">
        <f t="shared" si="7"/>
        <v>91</v>
      </c>
      <c r="M11">
        <f t="shared" si="8"/>
        <v>65</v>
      </c>
      <c r="N11">
        <v>1</v>
      </c>
      <c r="O11">
        <f t="shared" si="9"/>
        <v>64</v>
      </c>
      <c r="P11">
        <f t="shared" si="10"/>
        <v>27</v>
      </c>
      <c r="Q11">
        <f t="shared" si="11"/>
        <v>26</v>
      </c>
    </row>
    <row r="12" spans="1:17" ht="15.75">
      <c r="A12">
        <v>2025</v>
      </c>
      <c r="B12" s="27">
        <f t="shared" si="0"/>
        <v>45658</v>
      </c>
      <c r="C12" s="27">
        <f t="shared" si="1"/>
        <v>46022</v>
      </c>
      <c r="D12">
        <f t="shared" si="2"/>
        <v>365</v>
      </c>
      <c r="E12">
        <f t="shared" si="3"/>
        <v>261</v>
      </c>
      <c r="F12">
        <v>10</v>
      </c>
      <c r="G12">
        <f t="shared" si="4"/>
        <v>251</v>
      </c>
      <c r="H12">
        <f t="shared" si="5"/>
        <v>114</v>
      </c>
      <c r="I12">
        <f t="shared" si="6"/>
        <v>104</v>
      </c>
      <c r="L12">
        <f t="shared" si="7"/>
        <v>91</v>
      </c>
      <c r="M12">
        <f t="shared" si="8"/>
        <v>65</v>
      </c>
      <c r="N12">
        <v>1</v>
      </c>
      <c r="O12">
        <f t="shared" si="9"/>
        <v>64</v>
      </c>
      <c r="P12">
        <f t="shared" si="10"/>
        <v>27</v>
      </c>
      <c r="Q12">
        <f t="shared" si="11"/>
        <v>26</v>
      </c>
    </row>
    <row r="13" spans="1:17" ht="15.75">
      <c r="A13">
        <v>2026</v>
      </c>
      <c r="B13" s="27">
        <f t="shared" si="0"/>
        <v>46023</v>
      </c>
      <c r="C13" s="27">
        <f t="shared" si="1"/>
        <v>46387</v>
      </c>
      <c r="D13">
        <f t="shared" si="2"/>
        <v>365</v>
      </c>
      <c r="E13">
        <f t="shared" si="3"/>
        <v>261</v>
      </c>
      <c r="F13">
        <v>10</v>
      </c>
      <c r="G13">
        <f t="shared" si="4"/>
        <v>251</v>
      </c>
      <c r="H13">
        <f t="shared" si="5"/>
        <v>114</v>
      </c>
      <c r="I13">
        <f t="shared" si="6"/>
        <v>104</v>
      </c>
      <c r="L13">
        <f t="shared" si="7"/>
        <v>91</v>
      </c>
      <c r="M13">
        <f t="shared" si="8"/>
        <v>65</v>
      </c>
      <c r="N13">
        <v>1</v>
      </c>
      <c r="O13">
        <f t="shared" si="9"/>
        <v>64</v>
      </c>
      <c r="P13">
        <f t="shared" si="10"/>
        <v>27</v>
      </c>
      <c r="Q13">
        <f t="shared" si="11"/>
        <v>26</v>
      </c>
    </row>
    <row r="14" spans="1:17" ht="15.75">
      <c r="A14">
        <v>2027</v>
      </c>
      <c r="B14" s="27">
        <f t="shared" si="0"/>
        <v>46388</v>
      </c>
      <c r="C14" s="27">
        <f t="shared" si="1"/>
        <v>46752</v>
      </c>
      <c r="D14">
        <f t="shared" si="2"/>
        <v>365</v>
      </c>
      <c r="E14">
        <f t="shared" si="3"/>
        <v>261</v>
      </c>
      <c r="F14">
        <v>10</v>
      </c>
      <c r="G14">
        <f t="shared" si="4"/>
        <v>251</v>
      </c>
      <c r="H14">
        <f t="shared" si="5"/>
        <v>114</v>
      </c>
      <c r="I14">
        <f t="shared" si="6"/>
        <v>104</v>
      </c>
      <c r="L14">
        <f t="shared" si="7"/>
        <v>91</v>
      </c>
      <c r="M14">
        <f t="shared" si="8"/>
        <v>65</v>
      </c>
      <c r="N14">
        <v>1</v>
      </c>
      <c r="O14">
        <f t="shared" si="9"/>
        <v>64</v>
      </c>
      <c r="P14">
        <f t="shared" si="10"/>
        <v>27</v>
      </c>
      <c r="Q14">
        <f t="shared" si="11"/>
        <v>26</v>
      </c>
    </row>
    <row r="15" spans="1:17" ht="15.75">
      <c r="A15">
        <v>2028</v>
      </c>
      <c r="B15" s="27">
        <f t="shared" si="0"/>
        <v>46753</v>
      </c>
      <c r="C15" s="27">
        <f t="shared" si="1"/>
        <v>47118</v>
      </c>
      <c r="D15">
        <f t="shared" si="2"/>
        <v>366</v>
      </c>
      <c r="E15">
        <f t="shared" si="3"/>
        <v>260</v>
      </c>
      <c r="F15">
        <v>10</v>
      </c>
      <c r="G15">
        <f t="shared" si="4"/>
        <v>250</v>
      </c>
      <c r="H15">
        <f t="shared" si="5"/>
        <v>116</v>
      </c>
      <c r="I15">
        <f t="shared" si="6"/>
        <v>106</v>
      </c>
      <c r="L15">
        <f t="shared" si="7"/>
        <v>91</v>
      </c>
      <c r="M15">
        <f t="shared" si="8"/>
        <v>65</v>
      </c>
      <c r="N15">
        <v>1</v>
      </c>
      <c r="O15">
        <f t="shared" si="9"/>
        <v>64</v>
      </c>
      <c r="P15">
        <f t="shared" si="10"/>
        <v>27</v>
      </c>
      <c r="Q15">
        <f t="shared" si="11"/>
        <v>26</v>
      </c>
    </row>
    <row r="16" spans="1:17" ht="15.75">
      <c r="A16">
        <v>2029</v>
      </c>
      <c r="B16" s="27">
        <f t="shared" si="0"/>
        <v>47119</v>
      </c>
      <c r="C16" s="27">
        <f t="shared" si="1"/>
        <v>47483</v>
      </c>
      <c r="D16">
        <f t="shared" si="2"/>
        <v>365</v>
      </c>
      <c r="E16">
        <f t="shared" si="3"/>
        <v>261</v>
      </c>
      <c r="F16">
        <v>10</v>
      </c>
      <c r="G16">
        <f t="shared" si="4"/>
        <v>251</v>
      </c>
      <c r="H16">
        <f t="shared" si="5"/>
        <v>114</v>
      </c>
      <c r="I16">
        <f t="shared" si="6"/>
        <v>104</v>
      </c>
      <c r="L16">
        <f t="shared" si="7"/>
        <v>91</v>
      </c>
      <c r="M16">
        <f t="shared" si="8"/>
        <v>65</v>
      </c>
      <c r="N16">
        <v>1</v>
      </c>
      <c r="O16">
        <f t="shared" si="9"/>
        <v>64</v>
      </c>
      <c r="P16">
        <f t="shared" si="10"/>
        <v>27</v>
      </c>
      <c r="Q16">
        <f t="shared" si="11"/>
        <v>26</v>
      </c>
    </row>
    <row r="17" spans="1:17" ht="15.75">
      <c r="A17">
        <v>2030</v>
      </c>
      <c r="B17" s="27">
        <f t="shared" si="0"/>
        <v>47484</v>
      </c>
      <c r="C17" s="27">
        <f t="shared" si="1"/>
        <v>47848</v>
      </c>
      <c r="D17">
        <f t="shared" si="2"/>
        <v>365</v>
      </c>
      <c r="E17">
        <f t="shared" si="3"/>
        <v>261</v>
      </c>
      <c r="F17">
        <v>10</v>
      </c>
      <c r="G17">
        <f t="shared" si="4"/>
        <v>251</v>
      </c>
      <c r="H17">
        <f t="shared" si="5"/>
        <v>114</v>
      </c>
      <c r="I17">
        <f t="shared" si="6"/>
        <v>104</v>
      </c>
      <c r="L17">
        <f t="shared" si="7"/>
        <v>91</v>
      </c>
      <c r="M17">
        <f t="shared" si="8"/>
        <v>65</v>
      </c>
      <c r="N17">
        <v>1</v>
      </c>
      <c r="O17">
        <f t="shared" si="9"/>
        <v>64</v>
      </c>
      <c r="P17">
        <f t="shared" si="10"/>
        <v>27</v>
      </c>
      <c r="Q17">
        <f t="shared" si="11"/>
        <v>26</v>
      </c>
    </row>
    <row r="18" spans="1:17" ht="15.75">
      <c r="A18">
        <v>2031</v>
      </c>
      <c r="B18" s="27">
        <f t="shared" si="0"/>
        <v>47849</v>
      </c>
      <c r="C18" s="27">
        <f t="shared" si="1"/>
        <v>48213</v>
      </c>
      <c r="D18">
        <f t="shared" si="2"/>
        <v>365</v>
      </c>
      <c r="E18">
        <f t="shared" si="3"/>
        <v>261</v>
      </c>
      <c r="F18">
        <v>10</v>
      </c>
      <c r="G18">
        <f t="shared" si="4"/>
        <v>251</v>
      </c>
      <c r="H18">
        <f t="shared" si="5"/>
        <v>114</v>
      </c>
      <c r="I18">
        <f t="shared" si="6"/>
        <v>104</v>
      </c>
      <c r="L18">
        <f t="shared" si="7"/>
        <v>91</v>
      </c>
      <c r="M18">
        <f t="shared" si="8"/>
        <v>65</v>
      </c>
      <c r="N18">
        <v>1</v>
      </c>
      <c r="O18">
        <f t="shared" si="9"/>
        <v>64</v>
      </c>
      <c r="P18">
        <f t="shared" si="10"/>
        <v>27</v>
      </c>
      <c r="Q18">
        <f t="shared" si="11"/>
        <v>26</v>
      </c>
    </row>
    <row r="19" spans="1:17" ht="15.75">
      <c r="A19">
        <v>2032</v>
      </c>
      <c r="B19" s="27">
        <f t="shared" si="0"/>
        <v>48214</v>
      </c>
      <c r="C19" s="27">
        <f t="shared" si="1"/>
        <v>48579</v>
      </c>
      <c r="D19">
        <f t="shared" si="2"/>
        <v>366</v>
      </c>
      <c r="E19">
        <f t="shared" si="3"/>
        <v>262</v>
      </c>
      <c r="F19">
        <v>10</v>
      </c>
      <c r="G19">
        <f t="shared" si="4"/>
        <v>252</v>
      </c>
      <c r="H19">
        <f t="shared" si="5"/>
        <v>114</v>
      </c>
      <c r="I19">
        <f t="shared" si="6"/>
        <v>104</v>
      </c>
      <c r="L19">
        <f t="shared" si="7"/>
        <v>91</v>
      </c>
      <c r="M19">
        <f t="shared" si="8"/>
        <v>65</v>
      </c>
      <c r="N19">
        <v>1</v>
      </c>
      <c r="O19">
        <f t="shared" si="9"/>
        <v>64</v>
      </c>
      <c r="P19">
        <f t="shared" si="10"/>
        <v>27</v>
      </c>
      <c r="Q19">
        <f t="shared" si="11"/>
        <v>26</v>
      </c>
    </row>
    <row r="20" spans="1:17" ht="15.75">
      <c r="A20">
        <v>2033</v>
      </c>
      <c r="B20" s="27">
        <f t="shared" si="0"/>
        <v>48580</v>
      </c>
      <c r="C20" s="27">
        <f t="shared" si="1"/>
        <v>48944</v>
      </c>
      <c r="D20">
        <f t="shared" si="2"/>
        <v>365</v>
      </c>
      <c r="E20">
        <f t="shared" si="3"/>
        <v>260</v>
      </c>
      <c r="F20">
        <v>10</v>
      </c>
      <c r="G20">
        <f t="shared" si="4"/>
        <v>250</v>
      </c>
      <c r="H20">
        <f t="shared" si="5"/>
        <v>115</v>
      </c>
      <c r="I20">
        <f t="shared" si="6"/>
        <v>105</v>
      </c>
      <c r="L20">
        <f t="shared" si="7"/>
        <v>91</v>
      </c>
      <c r="M20">
        <f t="shared" si="8"/>
        <v>65</v>
      </c>
      <c r="N20">
        <v>1</v>
      </c>
      <c r="O20">
        <f t="shared" si="9"/>
        <v>64</v>
      </c>
      <c r="P20">
        <f t="shared" si="10"/>
        <v>27</v>
      </c>
      <c r="Q20">
        <f t="shared" si="11"/>
        <v>26</v>
      </c>
    </row>
    <row r="21" spans="1:17" ht="15.75">
      <c r="A21">
        <v>2034</v>
      </c>
      <c r="B21" s="27">
        <f t="shared" si="0"/>
        <v>48945</v>
      </c>
      <c r="C21" s="27">
        <f t="shared" si="1"/>
        <v>49309</v>
      </c>
      <c r="D21">
        <f t="shared" si="2"/>
        <v>365</v>
      </c>
      <c r="E21">
        <f t="shared" si="3"/>
        <v>260</v>
      </c>
      <c r="F21">
        <v>10</v>
      </c>
      <c r="G21">
        <f t="shared" si="4"/>
        <v>250</v>
      </c>
      <c r="H21">
        <f t="shared" si="5"/>
        <v>115</v>
      </c>
      <c r="I21">
        <f t="shared" si="6"/>
        <v>105</v>
      </c>
      <c r="L21">
        <f t="shared" si="7"/>
        <v>91</v>
      </c>
      <c r="M21">
        <f t="shared" si="8"/>
        <v>65</v>
      </c>
      <c r="N21">
        <v>1</v>
      </c>
      <c r="O21">
        <f t="shared" si="9"/>
        <v>64</v>
      </c>
      <c r="P21">
        <f t="shared" si="10"/>
        <v>27</v>
      </c>
      <c r="Q21">
        <f t="shared" si="11"/>
        <v>26</v>
      </c>
    </row>
    <row r="22" spans="1:17" ht="15.75">
      <c r="A22">
        <v>2035</v>
      </c>
      <c r="B22" s="27">
        <f t="shared" si="0"/>
        <v>49310</v>
      </c>
      <c r="C22" s="27">
        <f t="shared" si="1"/>
        <v>49674</v>
      </c>
      <c r="D22">
        <f t="shared" si="2"/>
        <v>365</v>
      </c>
      <c r="E22">
        <f t="shared" si="3"/>
        <v>261</v>
      </c>
      <c r="F22">
        <v>10</v>
      </c>
      <c r="G22">
        <f t="shared" si="4"/>
        <v>251</v>
      </c>
      <c r="H22">
        <f t="shared" si="5"/>
        <v>114</v>
      </c>
      <c r="I22">
        <f t="shared" si="6"/>
        <v>104</v>
      </c>
      <c r="L22">
        <f t="shared" si="7"/>
        <v>91</v>
      </c>
      <c r="M22">
        <f t="shared" si="8"/>
        <v>65</v>
      </c>
      <c r="N22">
        <v>1</v>
      </c>
      <c r="O22">
        <f t="shared" si="9"/>
        <v>64</v>
      </c>
      <c r="P22">
        <f t="shared" si="10"/>
        <v>27</v>
      </c>
      <c r="Q22">
        <f t="shared" si="11"/>
        <v>26</v>
      </c>
    </row>
    <row r="23" spans="1:17" ht="15.75">
      <c r="A23">
        <v>2036</v>
      </c>
      <c r="B23" s="27">
        <f t="shared" si="0"/>
        <v>49675</v>
      </c>
      <c r="C23" s="27">
        <f t="shared" si="1"/>
        <v>50040</v>
      </c>
      <c r="D23">
        <f t="shared" si="2"/>
        <v>366</v>
      </c>
      <c r="E23">
        <f t="shared" si="3"/>
        <v>262</v>
      </c>
      <c r="F23">
        <v>10</v>
      </c>
      <c r="G23">
        <f t="shared" si="4"/>
        <v>252</v>
      </c>
      <c r="H23">
        <f t="shared" si="5"/>
        <v>114</v>
      </c>
      <c r="I23">
        <f t="shared" si="6"/>
        <v>104</v>
      </c>
      <c r="L23">
        <f t="shared" si="7"/>
        <v>91</v>
      </c>
      <c r="M23">
        <f t="shared" si="8"/>
        <v>65</v>
      </c>
      <c r="N23">
        <v>1</v>
      </c>
      <c r="O23">
        <f t="shared" si="9"/>
        <v>64</v>
      </c>
      <c r="P23">
        <f t="shared" si="10"/>
        <v>27</v>
      </c>
      <c r="Q23">
        <f t="shared" si="11"/>
        <v>26</v>
      </c>
    </row>
    <row r="24" spans="1:17" ht="15.75">
      <c r="A24">
        <v>2037</v>
      </c>
      <c r="B24" s="27">
        <f t="shared" si="0"/>
        <v>50041</v>
      </c>
      <c r="C24" s="27">
        <f t="shared" si="1"/>
        <v>50405</v>
      </c>
      <c r="D24">
        <f t="shared" si="2"/>
        <v>365</v>
      </c>
      <c r="E24">
        <f t="shared" si="3"/>
        <v>261</v>
      </c>
      <c r="F24">
        <v>10</v>
      </c>
      <c r="G24">
        <f t="shared" si="4"/>
        <v>251</v>
      </c>
      <c r="H24">
        <f t="shared" si="5"/>
        <v>114</v>
      </c>
      <c r="I24">
        <f t="shared" si="6"/>
        <v>104</v>
      </c>
      <c r="L24">
        <f t="shared" si="7"/>
        <v>91</v>
      </c>
      <c r="M24">
        <f t="shared" si="8"/>
        <v>65</v>
      </c>
      <c r="N24">
        <v>1</v>
      </c>
      <c r="O24">
        <f t="shared" si="9"/>
        <v>64</v>
      </c>
      <c r="P24">
        <f t="shared" si="10"/>
        <v>27</v>
      </c>
      <c r="Q24">
        <f t="shared" si="11"/>
        <v>26</v>
      </c>
    </row>
    <row r="25" spans="1:17" ht="15.75">
      <c r="A25">
        <v>2038</v>
      </c>
      <c r="B25" s="27">
        <f t="shared" si="0"/>
        <v>50406</v>
      </c>
      <c r="C25" s="27">
        <f t="shared" si="1"/>
        <v>50770</v>
      </c>
      <c r="D25">
        <f t="shared" si="2"/>
        <v>365</v>
      </c>
      <c r="E25">
        <f t="shared" si="3"/>
        <v>261</v>
      </c>
      <c r="F25">
        <v>10</v>
      </c>
      <c r="G25">
        <f t="shared" si="4"/>
        <v>251</v>
      </c>
      <c r="H25">
        <f t="shared" si="5"/>
        <v>114</v>
      </c>
      <c r="I25">
        <f t="shared" si="6"/>
        <v>104</v>
      </c>
      <c r="L25">
        <f t="shared" si="7"/>
        <v>91</v>
      </c>
      <c r="M25">
        <f t="shared" si="8"/>
        <v>65</v>
      </c>
      <c r="N25">
        <v>1</v>
      </c>
      <c r="O25">
        <f t="shared" si="9"/>
        <v>64</v>
      </c>
      <c r="P25">
        <f t="shared" si="10"/>
        <v>27</v>
      </c>
      <c r="Q25">
        <f t="shared" si="11"/>
        <v>26</v>
      </c>
    </row>
    <row r="26" spans="1:17" ht="15.75">
      <c r="A26">
        <v>2039</v>
      </c>
      <c r="B26" s="27">
        <f t="shared" si="0"/>
        <v>50771</v>
      </c>
      <c r="C26" s="27">
        <f t="shared" si="1"/>
        <v>51135</v>
      </c>
      <c r="D26">
        <f t="shared" si="2"/>
        <v>365</v>
      </c>
      <c r="E26">
        <f t="shared" si="3"/>
        <v>260</v>
      </c>
      <c r="F26">
        <v>10</v>
      </c>
      <c r="G26">
        <f t="shared" si="4"/>
        <v>250</v>
      </c>
      <c r="H26">
        <f t="shared" si="5"/>
        <v>115</v>
      </c>
      <c r="I26">
        <f t="shared" si="6"/>
        <v>105</v>
      </c>
      <c r="L26">
        <f t="shared" si="7"/>
        <v>91</v>
      </c>
      <c r="M26">
        <f t="shared" si="8"/>
        <v>65</v>
      </c>
      <c r="N26">
        <v>1</v>
      </c>
      <c r="O26">
        <f t="shared" si="9"/>
        <v>64</v>
      </c>
      <c r="P26">
        <f t="shared" si="10"/>
        <v>27</v>
      </c>
      <c r="Q26">
        <f t="shared" si="11"/>
        <v>26</v>
      </c>
    </row>
    <row r="27" spans="1:17" ht="15.75">
      <c r="A27">
        <v>2040</v>
      </c>
      <c r="B27" s="27">
        <f t="shared" si="0"/>
        <v>51136</v>
      </c>
      <c r="C27" s="27">
        <f t="shared" si="1"/>
        <v>51501</v>
      </c>
      <c r="D27">
        <f t="shared" si="2"/>
        <v>366</v>
      </c>
      <c r="E27">
        <f t="shared" si="3"/>
        <v>261</v>
      </c>
      <c r="F27">
        <v>10</v>
      </c>
      <c r="G27">
        <f t="shared" si="4"/>
        <v>251</v>
      </c>
      <c r="H27">
        <f t="shared" si="5"/>
        <v>115</v>
      </c>
      <c r="I27">
        <f t="shared" si="6"/>
        <v>105</v>
      </c>
      <c r="L27">
        <f t="shared" si="7"/>
        <v>91</v>
      </c>
      <c r="M27">
        <f t="shared" si="8"/>
        <v>65</v>
      </c>
      <c r="N27">
        <v>1</v>
      </c>
      <c r="O27">
        <f t="shared" si="9"/>
        <v>64</v>
      </c>
      <c r="P27">
        <f t="shared" si="10"/>
        <v>27</v>
      </c>
      <c r="Q27">
        <f t="shared" si="11"/>
        <v>26</v>
      </c>
    </row>
    <row r="28" spans="1:17" ht="15.75">
      <c r="A28">
        <v>2041</v>
      </c>
      <c r="B28" s="27">
        <f t="shared" si="0"/>
        <v>51502</v>
      </c>
      <c r="C28" s="27">
        <f t="shared" si="1"/>
        <v>51866</v>
      </c>
      <c r="D28">
        <f t="shared" si="2"/>
        <v>365</v>
      </c>
      <c r="E28">
        <f t="shared" si="3"/>
        <v>261</v>
      </c>
      <c r="F28">
        <v>10</v>
      </c>
      <c r="G28">
        <f t="shared" si="4"/>
        <v>251</v>
      </c>
      <c r="H28">
        <f t="shared" si="5"/>
        <v>114</v>
      </c>
      <c r="I28">
        <f t="shared" si="6"/>
        <v>104</v>
      </c>
      <c r="L28">
        <f t="shared" si="7"/>
        <v>91</v>
      </c>
      <c r="M28">
        <f t="shared" si="8"/>
        <v>65</v>
      </c>
      <c r="N28">
        <v>1</v>
      </c>
      <c r="O28">
        <f t="shared" si="9"/>
        <v>64</v>
      </c>
      <c r="P28">
        <f t="shared" si="10"/>
        <v>27</v>
      </c>
      <c r="Q28">
        <f t="shared" si="11"/>
        <v>26</v>
      </c>
    </row>
    <row r="29" spans="1:17" ht="15.75">
      <c r="A29">
        <v>2042</v>
      </c>
      <c r="B29" s="27">
        <f t="shared" si="0"/>
        <v>51867</v>
      </c>
      <c r="C29" s="27">
        <f t="shared" si="1"/>
        <v>52231</v>
      </c>
      <c r="D29">
        <f t="shared" si="2"/>
        <v>365</v>
      </c>
      <c r="E29">
        <f t="shared" si="3"/>
        <v>261</v>
      </c>
      <c r="F29">
        <v>10</v>
      </c>
      <c r="G29">
        <f t="shared" si="4"/>
        <v>251</v>
      </c>
      <c r="H29">
        <f t="shared" si="5"/>
        <v>114</v>
      </c>
      <c r="I29">
        <f t="shared" si="6"/>
        <v>104</v>
      </c>
      <c r="L29">
        <f t="shared" si="7"/>
        <v>91</v>
      </c>
      <c r="M29">
        <f t="shared" si="8"/>
        <v>65</v>
      </c>
      <c r="N29">
        <v>1</v>
      </c>
      <c r="O29">
        <f t="shared" si="9"/>
        <v>64</v>
      </c>
      <c r="P29">
        <f t="shared" si="10"/>
        <v>27</v>
      </c>
      <c r="Q29">
        <f t="shared" si="11"/>
        <v>26</v>
      </c>
    </row>
    <row r="30" spans="1:17" ht="15.75">
      <c r="A30">
        <v>2043</v>
      </c>
      <c r="B30" s="27">
        <f t="shared" si="0"/>
        <v>52232</v>
      </c>
      <c r="C30" s="27">
        <f t="shared" si="1"/>
        <v>52596</v>
      </c>
      <c r="D30">
        <f t="shared" si="2"/>
        <v>365</v>
      </c>
      <c r="E30">
        <f t="shared" si="3"/>
        <v>261</v>
      </c>
      <c r="F30">
        <v>10</v>
      </c>
      <c r="G30">
        <f t="shared" si="4"/>
        <v>251</v>
      </c>
      <c r="H30">
        <f t="shared" si="5"/>
        <v>114</v>
      </c>
      <c r="I30">
        <f t="shared" si="6"/>
        <v>104</v>
      </c>
      <c r="L30">
        <f t="shared" si="7"/>
        <v>91</v>
      </c>
      <c r="M30">
        <f t="shared" si="8"/>
        <v>65</v>
      </c>
      <c r="N30">
        <v>1</v>
      </c>
      <c r="O30">
        <f t="shared" si="9"/>
        <v>64</v>
      </c>
      <c r="P30">
        <f t="shared" si="10"/>
        <v>27</v>
      </c>
      <c r="Q30">
        <f t="shared" si="11"/>
        <v>26</v>
      </c>
    </row>
    <row r="31" spans="1:17" ht="15.75">
      <c r="A31">
        <v>2044</v>
      </c>
      <c r="B31" s="27">
        <f t="shared" si="0"/>
        <v>52597</v>
      </c>
      <c r="C31" s="27">
        <f t="shared" si="1"/>
        <v>52962</v>
      </c>
      <c r="D31">
        <f t="shared" si="2"/>
        <v>366</v>
      </c>
      <c r="E31">
        <f t="shared" si="3"/>
        <v>261</v>
      </c>
      <c r="F31">
        <v>10</v>
      </c>
      <c r="G31">
        <f t="shared" si="4"/>
        <v>251</v>
      </c>
      <c r="H31">
        <f t="shared" si="5"/>
        <v>115</v>
      </c>
      <c r="I31">
        <f t="shared" si="6"/>
        <v>105</v>
      </c>
      <c r="L31">
        <f t="shared" si="7"/>
        <v>91</v>
      </c>
      <c r="M31">
        <f t="shared" si="8"/>
        <v>65</v>
      </c>
      <c r="N31">
        <v>1</v>
      </c>
      <c r="O31">
        <f t="shared" si="9"/>
        <v>64</v>
      </c>
      <c r="P31">
        <f t="shared" si="10"/>
        <v>27</v>
      </c>
      <c r="Q31">
        <f t="shared" si="11"/>
        <v>26</v>
      </c>
    </row>
    <row r="32" spans="1:17" ht="15.75">
      <c r="A32">
        <v>2045</v>
      </c>
      <c r="B32" s="27">
        <f t="shared" si="0"/>
        <v>52963</v>
      </c>
      <c r="C32" s="27">
        <f t="shared" si="1"/>
        <v>53327</v>
      </c>
      <c r="D32">
        <f t="shared" si="2"/>
        <v>365</v>
      </c>
      <c r="E32">
        <f t="shared" si="3"/>
        <v>260</v>
      </c>
      <c r="F32">
        <v>10</v>
      </c>
      <c r="G32">
        <f t="shared" si="4"/>
        <v>250</v>
      </c>
      <c r="H32">
        <f t="shared" si="5"/>
        <v>115</v>
      </c>
      <c r="I32">
        <f t="shared" si="6"/>
        <v>105</v>
      </c>
      <c r="L32">
        <f t="shared" si="7"/>
        <v>91</v>
      </c>
      <c r="M32">
        <f t="shared" si="8"/>
        <v>65</v>
      </c>
      <c r="N32">
        <v>1</v>
      </c>
      <c r="O32">
        <f t="shared" si="9"/>
        <v>64</v>
      </c>
      <c r="P32">
        <f t="shared" si="10"/>
        <v>27</v>
      </c>
      <c r="Q32">
        <f t="shared" si="11"/>
        <v>26</v>
      </c>
    </row>
    <row r="33" spans="1:17" ht="15.75">
      <c r="A33">
        <v>2046</v>
      </c>
      <c r="B33" s="27">
        <f t="shared" si="0"/>
        <v>53328</v>
      </c>
      <c r="C33" s="27">
        <f t="shared" si="1"/>
        <v>53692</v>
      </c>
      <c r="D33">
        <f t="shared" si="2"/>
        <v>365</v>
      </c>
      <c r="E33">
        <f t="shared" si="3"/>
        <v>261</v>
      </c>
      <c r="F33">
        <v>10</v>
      </c>
      <c r="G33">
        <f t="shared" si="4"/>
        <v>251</v>
      </c>
      <c r="H33">
        <f t="shared" si="5"/>
        <v>114</v>
      </c>
      <c r="I33">
        <f t="shared" si="6"/>
        <v>104</v>
      </c>
      <c r="L33">
        <f t="shared" si="7"/>
        <v>91</v>
      </c>
      <c r="M33">
        <f t="shared" si="8"/>
        <v>65</v>
      </c>
      <c r="N33">
        <v>1</v>
      </c>
      <c r="O33">
        <f t="shared" si="9"/>
        <v>64</v>
      </c>
      <c r="P33">
        <f t="shared" si="10"/>
        <v>27</v>
      </c>
      <c r="Q33">
        <f t="shared" si="11"/>
        <v>26</v>
      </c>
    </row>
    <row r="34" spans="1:17" ht="15.75">
      <c r="A34">
        <v>2047</v>
      </c>
      <c r="B34" s="27">
        <f t="shared" si="0"/>
        <v>53693</v>
      </c>
      <c r="C34" s="27">
        <f t="shared" si="1"/>
        <v>54057</v>
      </c>
      <c r="D34">
        <f t="shared" si="2"/>
        <v>365</v>
      </c>
      <c r="E34">
        <f t="shared" si="3"/>
        <v>261</v>
      </c>
      <c r="F34">
        <v>10</v>
      </c>
      <c r="G34">
        <f t="shared" si="4"/>
        <v>251</v>
      </c>
      <c r="H34">
        <f t="shared" si="5"/>
        <v>114</v>
      </c>
      <c r="I34">
        <f t="shared" si="6"/>
        <v>104</v>
      </c>
      <c r="L34">
        <f t="shared" si="7"/>
        <v>91</v>
      </c>
      <c r="M34">
        <f t="shared" si="8"/>
        <v>65</v>
      </c>
      <c r="N34">
        <v>1</v>
      </c>
      <c r="O34">
        <f t="shared" si="9"/>
        <v>64</v>
      </c>
      <c r="P34">
        <f t="shared" si="10"/>
        <v>27</v>
      </c>
      <c r="Q34">
        <f t="shared" si="11"/>
        <v>26</v>
      </c>
    </row>
    <row r="35" spans="1:17" ht="15.75">
      <c r="A35">
        <v>2048</v>
      </c>
      <c r="B35" s="27">
        <f t="shared" si="0"/>
        <v>54058</v>
      </c>
      <c r="C35" s="27">
        <f t="shared" si="1"/>
        <v>54423</v>
      </c>
      <c r="D35">
        <f t="shared" si="2"/>
        <v>366</v>
      </c>
      <c r="E35">
        <f t="shared" si="3"/>
        <v>262</v>
      </c>
      <c r="F35">
        <v>10</v>
      </c>
      <c r="G35">
        <f t="shared" si="4"/>
        <v>252</v>
      </c>
      <c r="H35">
        <f t="shared" si="5"/>
        <v>114</v>
      </c>
      <c r="I35">
        <f t="shared" si="6"/>
        <v>104</v>
      </c>
      <c r="L35">
        <f t="shared" si="7"/>
        <v>91</v>
      </c>
      <c r="M35">
        <f t="shared" si="8"/>
        <v>65</v>
      </c>
      <c r="N35">
        <v>1</v>
      </c>
      <c r="O35">
        <f t="shared" si="9"/>
        <v>64</v>
      </c>
      <c r="P35">
        <f t="shared" si="10"/>
        <v>27</v>
      </c>
      <c r="Q35">
        <f t="shared" si="11"/>
        <v>26</v>
      </c>
    </row>
    <row r="36" spans="1:17" ht="15.75">
      <c r="A36">
        <v>2049</v>
      </c>
      <c r="B36" s="27">
        <f t="shared" si="0"/>
        <v>54424</v>
      </c>
      <c r="C36" s="27">
        <f t="shared" si="1"/>
        <v>54788</v>
      </c>
      <c r="D36">
        <f t="shared" si="2"/>
        <v>365</v>
      </c>
      <c r="E36">
        <f t="shared" si="3"/>
        <v>261</v>
      </c>
      <c r="F36">
        <v>10</v>
      </c>
      <c r="G36">
        <f t="shared" si="4"/>
        <v>251</v>
      </c>
      <c r="H36">
        <f t="shared" si="5"/>
        <v>114</v>
      </c>
      <c r="I36">
        <f t="shared" si="6"/>
        <v>104</v>
      </c>
      <c r="L36">
        <f t="shared" si="7"/>
        <v>91</v>
      </c>
      <c r="M36">
        <f t="shared" si="8"/>
        <v>65</v>
      </c>
      <c r="N36">
        <v>1</v>
      </c>
      <c r="O36">
        <f t="shared" si="9"/>
        <v>64</v>
      </c>
      <c r="P36">
        <f t="shared" si="10"/>
        <v>27</v>
      </c>
      <c r="Q36">
        <f t="shared" si="11"/>
        <v>26</v>
      </c>
    </row>
    <row r="37" spans="1:17" ht="15.75">
      <c r="A37">
        <v>2050</v>
      </c>
      <c r="B37" s="27">
        <f t="shared" si="0"/>
        <v>54789</v>
      </c>
      <c r="C37" s="27">
        <f t="shared" si="1"/>
        <v>55153</v>
      </c>
      <c r="D37">
        <f t="shared" si="2"/>
        <v>365</v>
      </c>
      <c r="E37">
        <f t="shared" si="3"/>
        <v>260</v>
      </c>
      <c r="F37">
        <v>10</v>
      </c>
      <c r="G37">
        <f t="shared" si="4"/>
        <v>250</v>
      </c>
      <c r="H37">
        <f t="shared" si="5"/>
        <v>115</v>
      </c>
      <c r="I37">
        <f t="shared" si="6"/>
        <v>105</v>
      </c>
      <c r="L37">
        <f t="shared" si="7"/>
        <v>91</v>
      </c>
      <c r="M37">
        <f t="shared" si="8"/>
        <v>65</v>
      </c>
      <c r="N37">
        <v>1</v>
      </c>
      <c r="O37">
        <f t="shared" si="9"/>
        <v>64</v>
      </c>
      <c r="P37">
        <f t="shared" si="10"/>
        <v>27</v>
      </c>
      <c r="Q37">
        <f t="shared" si="11"/>
        <v>26</v>
      </c>
    </row>
    <row r="38" spans="1:17" ht="15.75">
      <c r="A38">
        <v>2051</v>
      </c>
      <c r="B38" s="27">
        <f t="shared" si="0"/>
        <v>55154</v>
      </c>
      <c r="C38" s="27">
        <f t="shared" si="1"/>
        <v>55518</v>
      </c>
      <c r="D38">
        <f t="shared" si="2"/>
        <v>365</v>
      </c>
      <c r="E38">
        <f t="shared" si="3"/>
        <v>260</v>
      </c>
      <c r="F38">
        <v>10</v>
      </c>
      <c r="G38">
        <f t="shared" si="4"/>
        <v>250</v>
      </c>
      <c r="H38">
        <f t="shared" si="5"/>
        <v>115</v>
      </c>
      <c r="I38">
        <f t="shared" si="6"/>
        <v>105</v>
      </c>
      <c r="L38">
        <f t="shared" si="7"/>
        <v>91</v>
      </c>
      <c r="M38">
        <f t="shared" si="8"/>
        <v>65</v>
      </c>
      <c r="N38">
        <v>1</v>
      </c>
      <c r="O38">
        <f t="shared" si="9"/>
        <v>64</v>
      </c>
      <c r="P38">
        <f t="shared" si="10"/>
        <v>27</v>
      </c>
      <c r="Q38">
        <f t="shared" si="11"/>
        <v>26</v>
      </c>
    </row>
    <row r="39" spans="1:17" ht="15.75">
      <c r="A39">
        <v>2052</v>
      </c>
      <c r="B39" s="27">
        <f t="shared" si="0"/>
        <v>55519</v>
      </c>
      <c r="C39" s="27">
        <f t="shared" si="1"/>
        <v>55884</v>
      </c>
      <c r="D39">
        <f t="shared" si="2"/>
        <v>366</v>
      </c>
      <c r="E39">
        <f t="shared" si="3"/>
        <v>262</v>
      </c>
      <c r="F39">
        <v>10</v>
      </c>
      <c r="G39">
        <f t="shared" si="4"/>
        <v>252</v>
      </c>
      <c r="H39">
        <f t="shared" si="5"/>
        <v>114</v>
      </c>
      <c r="I39">
        <f t="shared" si="6"/>
        <v>104</v>
      </c>
      <c r="L39">
        <f t="shared" si="7"/>
        <v>91</v>
      </c>
      <c r="M39">
        <f t="shared" si="8"/>
        <v>65</v>
      </c>
      <c r="N39">
        <v>1</v>
      </c>
      <c r="O39">
        <f t="shared" si="9"/>
        <v>64</v>
      </c>
      <c r="P39">
        <f t="shared" si="10"/>
        <v>27</v>
      </c>
      <c r="Q39">
        <f t="shared" si="11"/>
        <v>26</v>
      </c>
    </row>
    <row r="40" spans="1:17" ht="15.75">
      <c r="A40">
        <v>2053</v>
      </c>
      <c r="B40" s="27">
        <f t="shared" si="0"/>
        <v>55885</v>
      </c>
      <c r="C40" s="27">
        <f t="shared" si="1"/>
        <v>56249</v>
      </c>
      <c r="D40">
        <f t="shared" si="2"/>
        <v>365</v>
      </c>
      <c r="E40">
        <f t="shared" si="3"/>
        <v>261</v>
      </c>
      <c r="F40">
        <v>10</v>
      </c>
      <c r="G40">
        <f t="shared" si="4"/>
        <v>251</v>
      </c>
      <c r="H40">
        <f t="shared" si="5"/>
        <v>114</v>
      </c>
      <c r="I40">
        <f t="shared" si="6"/>
        <v>104</v>
      </c>
      <c r="L40">
        <f t="shared" si="7"/>
        <v>91</v>
      </c>
      <c r="M40">
        <f t="shared" si="8"/>
        <v>65</v>
      </c>
      <c r="N40">
        <v>1</v>
      </c>
      <c r="O40">
        <f t="shared" si="9"/>
        <v>64</v>
      </c>
      <c r="P40">
        <f t="shared" si="10"/>
        <v>27</v>
      </c>
      <c r="Q40">
        <f t="shared" si="11"/>
        <v>26</v>
      </c>
    </row>
    <row r="41" spans="1:17" ht="15.75">
      <c r="A41">
        <v>2054</v>
      </c>
      <c r="B41" s="27">
        <f t="shared" si="0"/>
        <v>56250</v>
      </c>
      <c r="C41" s="27">
        <f t="shared" si="1"/>
        <v>56614</v>
      </c>
      <c r="D41">
        <f t="shared" si="2"/>
        <v>365</v>
      </c>
      <c r="E41">
        <f t="shared" si="3"/>
        <v>261</v>
      </c>
      <c r="F41">
        <v>10</v>
      </c>
      <c r="G41">
        <f t="shared" si="4"/>
        <v>251</v>
      </c>
      <c r="H41">
        <f t="shared" si="5"/>
        <v>114</v>
      </c>
      <c r="I41">
        <f t="shared" si="6"/>
        <v>104</v>
      </c>
      <c r="L41">
        <f t="shared" si="7"/>
        <v>91</v>
      </c>
      <c r="M41">
        <f t="shared" si="8"/>
        <v>65</v>
      </c>
      <c r="N41">
        <v>1</v>
      </c>
      <c r="O41">
        <f t="shared" si="9"/>
        <v>64</v>
      </c>
      <c r="P41">
        <f t="shared" si="10"/>
        <v>27</v>
      </c>
      <c r="Q41">
        <f t="shared" si="11"/>
        <v>26</v>
      </c>
    </row>
    <row r="42" spans="1:17" ht="15.75">
      <c r="A42">
        <v>2055</v>
      </c>
      <c r="B42" s="27">
        <f t="shared" si="0"/>
        <v>56615</v>
      </c>
      <c r="C42" s="27">
        <f t="shared" si="1"/>
        <v>56979</v>
      </c>
      <c r="D42">
        <f t="shared" si="2"/>
        <v>365</v>
      </c>
      <c r="E42">
        <f t="shared" si="3"/>
        <v>261</v>
      </c>
      <c r="F42">
        <v>10</v>
      </c>
      <c r="G42">
        <f t="shared" si="4"/>
        <v>251</v>
      </c>
      <c r="H42">
        <f t="shared" si="5"/>
        <v>114</v>
      </c>
      <c r="I42">
        <f t="shared" si="6"/>
        <v>104</v>
      </c>
      <c r="L42">
        <f t="shared" si="7"/>
        <v>91</v>
      </c>
      <c r="M42">
        <f t="shared" si="8"/>
        <v>65</v>
      </c>
      <c r="N42">
        <v>1</v>
      </c>
      <c r="O42">
        <f t="shared" si="9"/>
        <v>64</v>
      </c>
      <c r="P42">
        <f t="shared" si="10"/>
        <v>27</v>
      </c>
      <c r="Q42">
        <f t="shared" si="11"/>
        <v>26</v>
      </c>
    </row>
    <row r="43" spans="1:17" ht="15.75">
      <c r="A43">
        <v>2056</v>
      </c>
      <c r="B43" s="27">
        <f t="shared" si="0"/>
        <v>56980</v>
      </c>
      <c r="C43" s="27">
        <f t="shared" si="1"/>
        <v>57345</v>
      </c>
      <c r="D43">
        <f t="shared" si="2"/>
        <v>366</v>
      </c>
      <c r="E43">
        <f t="shared" si="3"/>
        <v>260</v>
      </c>
      <c r="F43">
        <v>10</v>
      </c>
      <c r="G43">
        <f t="shared" si="4"/>
        <v>250</v>
      </c>
      <c r="H43">
        <f t="shared" si="5"/>
        <v>116</v>
      </c>
      <c r="I43">
        <f t="shared" si="6"/>
        <v>106</v>
      </c>
      <c r="L43">
        <f t="shared" si="7"/>
        <v>91</v>
      </c>
      <c r="M43">
        <f t="shared" si="8"/>
        <v>65</v>
      </c>
      <c r="N43">
        <v>1</v>
      </c>
      <c r="O43">
        <f t="shared" si="9"/>
        <v>64</v>
      </c>
      <c r="P43">
        <f t="shared" si="10"/>
        <v>27</v>
      </c>
      <c r="Q43">
        <f t="shared" si="11"/>
        <v>26</v>
      </c>
    </row>
    <row r="44" spans="1:17" ht="15.75">
      <c r="A44">
        <v>2057</v>
      </c>
      <c r="B44" s="27">
        <f t="shared" si="0"/>
        <v>57346</v>
      </c>
      <c r="C44" s="27">
        <f t="shared" si="1"/>
        <v>57710</v>
      </c>
      <c r="D44">
        <f t="shared" si="2"/>
        <v>365</v>
      </c>
      <c r="E44">
        <f t="shared" si="3"/>
        <v>261</v>
      </c>
      <c r="F44">
        <v>10</v>
      </c>
      <c r="G44">
        <f t="shared" si="4"/>
        <v>251</v>
      </c>
      <c r="H44">
        <f t="shared" si="5"/>
        <v>114</v>
      </c>
      <c r="I44">
        <f t="shared" si="6"/>
        <v>104</v>
      </c>
      <c r="L44">
        <f t="shared" si="7"/>
        <v>91</v>
      </c>
      <c r="M44">
        <f t="shared" si="8"/>
        <v>65</v>
      </c>
      <c r="N44">
        <v>1</v>
      </c>
      <c r="O44">
        <f t="shared" si="9"/>
        <v>64</v>
      </c>
      <c r="P44">
        <f t="shared" si="10"/>
        <v>27</v>
      </c>
      <c r="Q44">
        <f t="shared" si="11"/>
        <v>26</v>
      </c>
    </row>
    <row r="45" spans="1:17" ht="15.75">
      <c r="A45">
        <v>2058</v>
      </c>
      <c r="B45" s="27">
        <f t="shared" si="0"/>
        <v>57711</v>
      </c>
      <c r="C45" s="27">
        <f t="shared" si="1"/>
        <v>58075</v>
      </c>
      <c r="D45">
        <f t="shared" si="2"/>
        <v>365</v>
      </c>
      <c r="E45">
        <f t="shared" si="3"/>
        <v>261</v>
      </c>
      <c r="F45">
        <v>10</v>
      </c>
      <c r="G45">
        <f t="shared" si="4"/>
        <v>251</v>
      </c>
      <c r="H45">
        <f t="shared" si="5"/>
        <v>114</v>
      </c>
      <c r="I45">
        <f t="shared" si="6"/>
        <v>104</v>
      </c>
      <c r="L45">
        <f t="shared" si="7"/>
        <v>91</v>
      </c>
      <c r="M45">
        <f t="shared" si="8"/>
        <v>65</v>
      </c>
      <c r="N45">
        <v>1</v>
      </c>
      <c r="O45">
        <f t="shared" si="9"/>
        <v>64</v>
      </c>
      <c r="P45">
        <f t="shared" si="10"/>
        <v>27</v>
      </c>
      <c r="Q45">
        <f t="shared" si="11"/>
        <v>26</v>
      </c>
    </row>
    <row r="46" spans="1:17" ht="15.75">
      <c r="A46">
        <v>2059</v>
      </c>
      <c r="B46" s="27">
        <f t="shared" si="0"/>
        <v>58076</v>
      </c>
      <c r="C46" s="27">
        <f t="shared" si="1"/>
        <v>58440</v>
      </c>
      <c r="D46">
        <f t="shared" si="2"/>
        <v>365</v>
      </c>
      <c r="E46">
        <f t="shared" si="3"/>
        <v>261</v>
      </c>
      <c r="F46">
        <v>10</v>
      </c>
      <c r="G46">
        <f t="shared" si="4"/>
        <v>251</v>
      </c>
      <c r="H46">
        <f t="shared" si="5"/>
        <v>114</v>
      </c>
      <c r="I46">
        <f t="shared" si="6"/>
        <v>104</v>
      </c>
      <c r="L46">
        <f t="shared" si="7"/>
        <v>91</v>
      </c>
      <c r="M46">
        <f t="shared" si="8"/>
        <v>65</v>
      </c>
      <c r="N46">
        <v>1</v>
      </c>
      <c r="O46">
        <f t="shared" si="9"/>
        <v>64</v>
      </c>
      <c r="P46">
        <f t="shared" si="10"/>
        <v>27</v>
      </c>
      <c r="Q46">
        <f t="shared" si="11"/>
        <v>26</v>
      </c>
    </row>
    <row r="47" spans="1:17" ht="15.75">
      <c r="A47">
        <v>2060</v>
      </c>
      <c r="B47" s="27">
        <f t="shared" si="0"/>
        <v>58441</v>
      </c>
      <c r="C47" s="27">
        <f t="shared" si="1"/>
        <v>58806</v>
      </c>
      <c r="D47">
        <f t="shared" si="2"/>
        <v>366</v>
      </c>
      <c r="E47">
        <f t="shared" si="3"/>
        <v>262</v>
      </c>
      <c r="F47">
        <v>10</v>
      </c>
      <c r="G47">
        <f t="shared" si="4"/>
        <v>252</v>
      </c>
      <c r="H47">
        <f t="shared" si="5"/>
        <v>114</v>
      </c>
      <c r="I47">
        <f t="shared" si="6"/>
        <v>104</v>
      </c>
      <c r="L47">
        <f t="shared" si="7"/>
        <v>91</v>
      </c>
      <c r="M47">
        <f t="shared" si="8"/>
        <v>65</v>
      </c>
      <c r="N47">
        <v>1</v>
      </c>
      <c r="O47">
        <f t="shared" si="9"/>
        <v>64</v>
      </c>
      <c r="P47">
        <f t="shared" si="10"/>
        <v>27</v>
      </c>
      <c r="Q47">
        <f t="shared" si="11"/>
        <v>26</v>
      </c>
    </row>
    <row r="48" spans="1:17" ht="15.75">
      <c r="A48">
        <v>2061</v>
      </c>
      <c r="B48" s="27">
        <f t="shared" si="0"/>
        <v>58807</v>
      </c>
      <c r="C48" s="27">
        <f t="shared" si="1"/>
        <v>59171</v>
      </c>
      <c r="D48">
        <f t="shared" si="2"/>
        <v>365</v>
      </c>
      <c r="E48">
        <f t="shared" si="3"/>
        <v>260</v>
      </c>
      <c r="F48">
        <v>10</v>
      </c>
      <c r="G48">
        <f t="shared" si="4"/>
        <v>250</v>
      </c>
      <c r="H48">
        <f t="shared" si="5"/>
        <v>115</v>
      </c>
      <c r="I48">
        <f t="shared" si="6"/>
        <v>105</v>
      </c>
      <c r="L48">
        <f t="shared" si="7"/>
        <v>91</v>
      </c>
      <c r="M48">
        <f t="shared" si="8"/>
        <v>65</v>
      </c>
      <c r="N48">
        <v>1</v>
      </c>
      <c r="O48">
        <f t="shared" si="9"/>
        <v>64</v>
      </c>
      <c r="P48">
        <f t="shared" si="10"/>
        <v>27</v>
      </c>
      <c r="Q48">
        <f t="shared" si="11"/>
        <v>26</v>
      </c>
    </row>
  </sheetData>
  <mergeCells count="1">
    <mergeCell ref="L5:Q5"/>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Chicago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Casey Mulligan</dc:creator>
  <cp:keywords/>
  <dc:description/>
  <cp:lastModifiedBy>Casey Mulligan</cp:lastModifiedBy>
  <dcterms:created xsi:type="dcterms:W3CDTF">2020-03-26T18:32:40Z</dcterms:created>
  <dcterms:modified xsi:type="dcterms:W3CDTF">2020-04-19T23:05:29Z</dcterms:modified>
  <cp:category/>
  <cp:version/>
  <cp:contentType/>
  <cp:contentStatus/>
</cp:coreProperties>
</file>